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15" windowWidth="16875" windowHeight="10230"/>
  </bookViews>
  <sheets>
    <sheet name="Лист1" sheetId="1" r:id="rId1"/>
  </sheets>
  <calcPr calcId="125725" calcOnSave="0"/>
</workbook>
</file>

<file path=xl/calcChain.xml><?xml version="1.0" encoding="utf-8"?>
<calcChain xmlns="http://schemas.openxmlformats.org/spreadsheetml/2006/main">
  <c r="E67" i="1"/>
  <c r="E65"/>
  <c r="G62"/>
  <c r="E61"/>
  <c r="G33"/>
  <c r="G49"/>
  <c r="G43"/>
  <c r="G25"/>
  <c r="E49"/>
  <c r="E28"/>
  <c r="E25"/>
  <c r="E53"/>
  <c r="E50"/>
  <c r="E43"/>
  <c r="E38"/>
  <c r="E27"/>
  <c r="E26"/>
  <c r="E44"/>
  <c r="E62"/>
  <c r="D14" l="1"/>
  <c r="E66" s="1"/>
  <c r="C8" l="1"/>
  <c r="D17"/>
  <c r="E51"/>
  <c r="G51"/>
  <c r="G39"/>
  <c r="E39"/>
  <c r="G29"/>
  <c r="E29"/>
  <c r="H63"/>
  <c r="F54" l="1"/>
  <c r="F56"/>
  <c r="F63"/>
  <c r="C64"/>
  <c r="C45"/>
  <c r="C34"/>
  <c r="C29"/>
  <c r="F28"/>
  <c r="F33"/>
  <c r="F34" s="1"/>
  <c r="F43"/>
  <c r="F55"/>
  <c r="C57"/>
  <c r="C39"/>
  <c r="F44"/>
  <c r="F53"/>
  <c r="F62"/>
  <c r="F38"/>
  <c r="F39" s="1"/>
  <c r="F25"/>
  <c r="F29" s="1"/>
  <c r="F27"/>
  <c r="F61"/>
  <c r="F64" s="1"/>
  <c r="F26"/>
  <c r="F50"/>
  <c r="F49"/>
  <c r="G61"/>
  <c r="H39"/>
  <c r="H51"/>
  <c r="H49"/>
  <c r="H54"/>
  <c r="G57"/>
  <c r="H57" s="1"/>
  <c r="H62"/>
  <c r="H25"/>
  <c r="H26"/>
  <c r="H27"/>
  <c r="H28"/>
  <c r="H29"/>
  <c r="H38"/>
  <c r="H44"/>
  <c r="H50"/>
  <c r="H53"/>
  <c r="H55"/>
  <c r="H56"/>
  <c r="F45" l="1"/>
  <c r="F57"/>
  <c r="F51"/>
  <c r="E45"/>
  <c r="E34"/>
  <c r="E64"/>
  <c r="E57"/>
  <c r="C65"/>
  <c r="C67" l="1"/>
  <c r="C66" s="1"/>
  <c r="D68" s="1"/>
  <c r="H61"/>
  <c r="G64"/>
  <c r="H64" s="1"/>
  <c r="H43"/>
  <c r="G45"/>
  <c r="H45" s="1"/>
  <c r="H33"/>
  <c r="G34"/>
  <c r="H34" l="1"/>
  <c r="H68" s="1"/>
  <c r="G65"/>
  <c r="D69"/>
  <c r="F69" s="1"/>
  <c r="F68"/>
  <c r="H69" l="1"/>
  <c r="G66" l="1"/>
  <c r="G68" s="1"/>
  <c r="G69" s="1"/>
</calcChain>
</file>

<file path=xl/sharedStrings.xml><?xml version="1.0" encoding="utf-8"?>
<sst xmlns="http://schemas.openxmlformats.org/spreadsheetml/2006/main" count="130" uniqueCount="61">
  <si>
    <t>ООО "ИЭК Сервис"</t>
  </si>
  <si>
    <t>Отчет об исполнении управляющей организацией договора управления за 2017 год.</t>
  </si>
  <si>
    <t>Общая площадь дома, в том числе:</t>
  </si>
  <si>
    <t>- общая площадь жилых помещений</t>
  </si>
  <si>
    <t>- общая площадь нежилых помещений</t>
  </si>
  <si>
    <t>Общая информация о финансовых расчетах с потребителями за 2017год.      (ПО ЖИЛИЩНЫМ УСЛУГАМ)</t>
  </si>
  <si>
    <t>Задолженность потребителей (на начало 2017г.)</t>
  </si>
  <si>
    <t>руб.</t>
  </si>
  <si>
    <t>Начислено за работы (услуги) по содержанию и текущему ремонту за 2017г. В т.ч.</t>
  </si>
  <si>
    <t>содержание и ремонт</t>
  </si>
  <si>
    <t>Получено денежных средств в 2017г.</t>
  </si>
  <si>
    <t>Задолженность потребителей (на конец 2017г.)</t>
  </si>
  <si>
    <t>СПРАВОЧНО:</t>
  </si>
  <si>
    <t>Задолженность потребителей (на конец 2017г.) по жилищным и коммунальным услугам перед ООО "ИЭК СЕРВИС"</t>
  </si>
  <si>
    <t>Санитарное содержание  мест общего пользования и придомовой территории</t>
  </si>
  <si>
    <t>№ п/п</t>
  </si>
  <si>
    <t>Виды затрат УК</t>
  </si>
  <si>
    <t>Плановая годовая стоимость на 2017г., руб. без НДС</t>
  </si>
  <si>
    <t>Фактическая годовая стоимость за 2017 год, руб. без НДС</t>
  </si>
  <si>
    <t>Плановая годовая стоимость на 2018г., руб. без НДС</t>
  </si>
  <si>
    <t>Комментарии</t>
  </si>
  <si>
    <t>В целом по МКД, руб.в год</t>
  </si>
  <si>
    <t>в расчете на кв.м., руб.в месяц</t>
  </si>
  <si>
    <t>Заработная плата и страховые взносы уборщиков(дворников), в т.ч. занятых по уборке контейнерных площадок</t>
  </si>
  <si>
    <t>Рост затрат обусловлен ростом МРОТ с 01.01.2018г. С 10850 до 11400 руб./мес.</t>
  </si>
  <si>
    <t>Материальные затраты (хозинвентарь, моющие средства, песчано-солевая смесь)</t>
  </si>
  <si>
    <t>ВСЕГО по статье "Санитарное содержание  мест общего пользования и придомовой территории"</t>
  </si>
  <si>
    <t>Вывоз твердых бытовых отходов</t>
  </si>
  <si>
    <t>Затраты по оплате услуг организации по вывозу твердых бытовых отходов (в т.ч. крупногабаритные отходы)</t>
  </si>
  <si>
    <t>ВСЕГО по статье "Вывоз твердых бытовых отходов"</t>
  </si>
  <si>
    <t>Техническое обслуживание газового оборудования</t>
  </si>
  <si>
    <t>Затраты по оплате услуг организации по техническому обслуживанию газового оборудования</t>
  </si>
  <si>
    <t>ВСЕГО по статье "техническое обслуживание газового оборудования""</t>
  </si>
  <si>
    <t>Техническое обслуживание внутридомовых систем отопления, водоснабжения, водоотведения и электроснабжения .</t>
  </si>
  <si>
    <t>Заработная плата и страховые взносы слесарей-сантехников, электромонтеров</t>
  </si>
  <si>
    <t>Материальные затраты</t>
  </si>
  <si>
    <t>ВСЕГО по статье "Техническое обслуживание внутридомовых систем отопления, водоснабжения, водоотведения и электроснабжения "</t>
  </si>
  <si>
    <t>Текущий ремонт конструктивных элементов МКД</t>
  </si>
  <si>
    <t>Оплата ремонтных работ по договорам со сторонними организациями</t>
  </si>
  <si>
    <t>в т.ч.</t>
  </si>
  <si>
    <t>Очистка вентиляционных каналов</t>
  </si>
  <si>
    <t>Косметический ремонт подъездов</t>
  </si>
  <si>
    <t>ВСЕГО по статье " Текущий ремонт конструктивных элементов МКД"</t>
  </si>
  <si>
    <t>Управление МКД</t>
  </si>
  <si>
    <t>Заработная плата и страховые взносы работников, занятых управлением МКД (инженер,диспетчер)</t>
  </si>
  <si>
    <t>Затраты на РКЦ (з/п и отчисления сотрудников, канцтовары, ремонт и обслуживание оргтехники, программное обеспечение)</t>
  </si>
  <si>
    <t>Затраты на административно-управленческий аппарат</t>
  </si>
  <si>
    <t>ВСЕГО по статье " Управление МКД"</t>
  </si>
  <si>
    <t>ВСЕГО затраты по МКД</t>
  </si>
  <si>
    <t xml:space="preserve">Начислено потребителям за услуги по содержанию и ремонту </t>
  </si>
  <si>
    <t>Тариф на содержание и ремонт без НДС</t>
  </si>
  <si>
    <t>Тариф на содержание и ремонт с НДС</t>
  </si>
  <si>
    <t>Финансовый результат деятельности (+прибыль, -убыток)</t>
  </si>
  <si>
    <t>Дератизация ,Дезинсекция</t>
  </si>
  <si>
    <t xml:space="preserve">покос травы </t>
  </si>
  <si>
    <t>Заработная плата и страховые взносы работников, занятых текущим ремонтом (ГАЗОЭЛЕКТРОсварщик,)</t>
  </si>
  <si>
    <t>замена стекл ()</t>
  </si>
  <si>
    <t>ремонт отмостки,крыльцо,восстановление приямков</t>
  </si>
  <si>
    <t>Адрес многоквартирного дома: ГП Лопухинка , Глобицы,ул. Героев 12</t>
  </si>
  <si>
    <t>Плановая годовая стоимость на 2018г. рассчитана с учетом ТО раз в три года по тарифам обслуживающей организации</t>
  </si>
  <si>
    <t>Рост затрат обусловлен ростом стоимости услуг ООО "Эко-Точка" с 01.01.2018г. Более,чем В 2 раза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</si>
</sst>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Font="1"/>
    <xf numFmtId="0" fontId="3" fillId="0" borderId="1" xfId="0" applyNumberFormat="1" applyFont="1" applyFill="1" applyBorder="1" applyAlignment="1" applyProtection="1">
      <alignment horizontal="left" vertical="top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3" fillId="0" borderId="0" xfId="0" applyNumberFormat="1" applyFont="1" applyFill="1" applyBorder="1" applyAlignment="1" applyProtection="1">
      <alignment horizontal="left" vertical="top"/>
    </xf>
    <xf numFmtId="0" fontId="0" fillId="0" borderId="0" xfId="0" applyBorder="1" applyAlignment="1">
      <alignment wrapText="1"/>
    </xf>
    <xf numFmtId="0" fontId="3" fillId="0" borderId="1" xfId="0" applyNumberFormat="1" applyFont="1" applyFill="1" applyBorder="1" applyAlignment="1" applyProtection="1">
      <alignment horizontal="center" vertical="top"/>
    </xf>
    <xf numFmtId="0" fontId="3" fillId="0" borderId="1" xfId="0" applyNumberFormat="1" applyFont="1" applyFill="1" applyBorder="1" applyAlignment="1" applyProtection="1">
      <alignment horizontal="left" vertical="top" wrapText="1"/>
    </xf>
    <xf numFmtId="43" fontId="5" fillId="0" borderId="1" xfId="0" applyNumberFormat="1" applyFont="1" applyFill="1" applyBorder="1" applyAlignment="1" applyProtection="1">
      <alignment horizontal="right" vertical="top"/>
    </xf>
    <xf numFmtId="43" fontId="6" fillId="0" borderId="0" xfId="0" applyNumberFormat="1" applyFont="1" applyBorder="1" applyAlignment="1">
      <alignment wrapText="1"/>
    </xf>
    <xf numFmtId="0" fontId="7" fillId="0" borderId="1" xfId="0" applyNumberFormat="1" applyFont="1" applyFill="1" applyBorder="1" applyAlignment="1" applyProtection="1">
      <alignment horizontal="right" vertical="top"/>
    </xf>
    <xf numFmtId="0" fontId="7" fillId="0" borderId="1" xfId="0" applyNumberFormat="1" applyFont="1" applyFill="1" applyBorder="1" applyAlignment="1" applyProtection="1">
      <alignment horizontal="right" vertical="top" wrapText="1"/>
    </xf>
    <xf numFmtId="0" fontId="8" fillId="0" borderId="0" xfId="0" applyFont="1" applyBorder="1" applyAlignment="1">
      <alignment horizontal="right" wrapText="1"/>
    </xf>
    <xf numFmtId="0" fontId="3" fillId="0" borderId="0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horizontal="left" vertical="top" wrapText="1"/>
    </xf>
    <xf numFmtId="43" fontId="5" fillId="0" borderId="0" xfId="0" applyNumberFormat="1" applyFont="1" applyFill="1" applyBorder="1" applyAlignment="1" applyProtection="1">
      <alignment horizontal="right" vertical="top"/>
    </xf>
    <xf numFmtId="0" fontId="9" fillId="0" borderId="0" xfId="0" applyNumberFormat="1" applyFont="1" applyFill="1" applyBorder="1" applyAlignment="1" applyProtection="1">
      <alignment horizontal="left" vertical="top"/>
    </xf>
    <xf numFmtId="0" fontId="10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4" fontId="0" fillId="0" borderId="1" xfId="0" applyNumberFormat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horizontal="right" wrapText="1"/>
    </xf>
    <xf numFmtId="4" fontId="8" fillId="0" borderId="1" xfId="0" applyNumberFormat="1" applyFont="1" applyBorder="1" applyAlignment="1">
      <alignment horizontal="right" wrapText="1"/>
    </xf>
    <xf numFmtId="4" fontId="0" fillId="0" borderId="0" xfId="0" applyNumberFormat="1"/>
    <xf numFmtId="43" fontId="5" fillId="0" borderId="1" xfId="0" applyNumberFormat="1" applyFont="1" applyFill="1" applyBorder="1" applyAlignment="1" applyProtection="1">
      <alignment horizontal="center" vertical="top"/>
    </xf>
    <xf numFmtId="0" fontId="0" fillId="0" borderId="1" xfId="0" applyBorder="1" applyAlignment="1">
      <alignment horizontal="center"/>
    </xf>
    <xf numFmtId="2" fontId="0" fillId="0" borderId="0" xfId="0" applyNumberFormat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4" fillId="0" borderId="2" xfId="0" applyNumberFormat="1" applyFont="1" applyFill="1" applyBorder="1" applyAlignment="1" applyProtection="1">
      <alignment horizontal="left" vertical="top" wrapText="1"/>
    </xf>
    <xf numFmtId="0" fontId="4" fillId="0" borderId="3" xfId="0" applyNumberFormat="1" applyFont="1" applyFill="1" applyBorder="1" applyAlignment="1" applyProtection="1">
      <alignment horizontal="left" vertical="top" wrapText="1"/>
    </xf>
    <xf numFmtId="0" fontId="4" fillId="0" borderId="4" xfId="0" applyNumberFormat="1" applyFont="1" applyFill="1" applyBorder="1" applyAlignment="1" applyProtection="1">
      <alignment horizontal="left" vertical="top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0" fillId="2" borderId="1" xfId="0" applyFill="1" applyBorder="1" applyAlignment="1">
      <alignment wrapText="1"/>
    </xf>
    <xf numFmtId="4" fontId="0" fillId="2" borderId="1" xfId="0" applyNumberFormat="1" applyFill="1" applyBorder="1" applyAlignment="1">
      <alignment wrapText="1"/>
    </xf>
    <xf numFmtId="0" fontId="0" fillId="2" borderId="0" xfId="0" applyFill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73"/>
  <sheetViews>
    <sheetView tabSelected="1" topLeftCell="A58" workbookViewId="0">
      <selection activeCell="E68" sqref="E68"/>
    </sheetView>
  </sheetViews>
  <sheetFormatPr defaultRowHeight="15"/>
  <cols>
    <col min="2" max="2" width="39.28515625" customWidth="1"/>
    <col min="3" max="3" width="15.28515625" customWidth="1"/>
    <col min="4" max="4" width="13.85546875" customWidth="1"/>
    <col min="5" max="5" width="12.28515625" customWidth="1"/>
    <col min="7" max="7" width="12.140625" customWidth="1"/>
    <col min="9" max="9" width="16.5703125" customWidth="1"/>
  </cols>
  <sheetData>
    <row r="1" spans="1:9">
      <c r="A1" t="s">
        <v>0</v>
      </c>
    </row>
    <row r="3" spans="1:9" ht="18.75">
      <c r="B3" s="1" t="s">
        <v>1</v>
      </c>
    </row>
    <row r="4" spans="1:9" ht="18.75">
      <c r="B4" s="1"/>
    </row>
    <row r="5" spans="1:9" hidden="1"/>
    <row r="6" spans="1:9">
      <c r="A6" s="2" t="s">
        <v>58</v>
      </c>
      <c r="B6" s="3"/>
      <c r="C6" s="3"/>
      <c r="D6" s="3"/>
    </row>
    <row r="7" spans="1:9">
      <c r="A7" s="2"/>
      <c r="B7" s="3"/>
      <c r="C7" s="3"/>
      <c r="D7" s="3"/>
    </row>
    <row r="8" spans="1:9">
      <c r="A8" s="2"/>
      <c r="B8" s="4" t="s">
        <v>2</v>
      </c>
      <c r="C8" s="5">
        <f>C9+C10</f>
        <v>1436.4</v>
      </c>
      <c r="D8" s="3"/>
    </row>
    <row r="9" spans="1:9">
      <c r="A9" s="2"/>
      <c r="B9" s="4" t="s">
        <v>3</v>
      </c>
      <c r="C9" s="5">
        <v>1436.4</v>
      </c>
      <c r="D9" s="3"/>
    </row>
    <row r="10" spans="1:9">
      <c r="A10" s="2"/>
      <c r="B10" s="4" t="s">
        <v>4</v>
      </c>
      <c r="C10" s="6">
        <v>0</v>
      </c>
      <c r="D10" s="3"/>
    </row>
    <row r="11" spans="1:9">
      <c r="A11" s="7"/>
      <c r="B11" s="8"/>
      <c r="C11" s="7"/>
      <c r="D11" s="7"/>
      <c r="E11" s="9"/>
      <c r="F11" s="9"/>
      <c r="G11" s="9"/>
      <c r="H11" s="9"/>
      <c r="I11" s="9"/>
    </row>
    <row r="12" spans="1:9" ht="37.5" customHeight="1">
      <c r="A12" s="42" t="s">
        <v>5</v>
      </c>
      <c r="B12" s="43"/>
      <c r="C12" s="43"/>
      <c r="D12" s="44"/>
      <c r="E12" s="9"/>
      <c r="F12" s="9"/>
      <c r="G12" s="9"/>
      <c r="H12" s="9"/>
      <c r="I12" s="9"/>
    </row>
    <row r="13" spans="1:9" ht="50.25" customHeight="1">
      <c r="A13" s="10">
        <v>1</v>
      </c>
      <c r="B13" s="11" t="s">
        <v>6</v>
      </c>
      <c r="C13" s="10" t="s">
        <v>7</v>
      </c>
      <c r="D13" s="32">
        <v>0</v>
      </c>
      <c r="E13" s="9"/>
      <c r="F13" s="9"/>
      <c r="G13" s="9"/>
      <c r="H13" s="9"/>
      <c r="I13" s="9"/>
    </row>
    <row r="14" spans="1:9" ht="60" customHeight="1">
      <c r="A14" s="10">
        <v>2</v>
      </c>
      <c r="B14" s="11" t="s">
        <v>8</v>
      </c>
      <c r="C14" s="10" t="s">
        <v>7</v>
      </c>
      <c r="D14" s="32">
        <f>D15</f>
        <v>185193.45</v>
      </c>
      <c r="E14" s="13"/>
      <c r="F14" s="9"/>
      <c r="G14" s="9"/>
      <c r="H14" s="9"/>
      <c r="I14" s="9"/>
    </row>
    <row r="15" spans="1:9">
      <c r="A15" s="14"/>
      <c r="B15" s="15" t="s">
        <v>9</v>
      </c>
      <c r="C15" s="14"/>
      <c r="D15" s="33">
        <v>185193.45</v>
      </c>
      <c r="E15" s="13"/>
      <c r="F15" s="16"/>
      <c r="G15" s="16"/>
      <c r="H15" s="16"/>
      <c r="I15" s="16"/>
    </row>
    <row r="16" spans="1:9" ht="37.5" customHeight="1">
      <c r="A16" s="10">
        <v>3</v>
      </c>
      <c r="B16" s="11" t="s">
        <v>10</v>
      </c>
      <c r="C16" s="10" t="s">
        <v>7</v>
      </c>
      <c r="D16" s="33">
        <v>127565.74</v>
      </c>
      <c r="E16" s="9"/>
      <c r="F16" s="9"/>
      <c r="G16" s="9"/>
      <c r="H16" s="9"/>
      <c r="I16" s="9"/>
    </row>
    <row r="17" spans="1:9" ht="37.5" customHeight="1">
      <c r="A17" s="10">
        <v>4</v>
      </c>
      <c r="B17" s="11" t="s">
        <v>11</v>
      </c>
      <c r="C17" s="10" t="s">
        <v>7</v>
      </c>
      <c r="D17" s="32">
        <f>D13+D14-D16</f>
        <v>57627.710000000006</v>
      </c>
      <c r="E17" s="9"/>
      <c r="F17" s="9"/>
      <c r="G17" s="9"/>
      <c r="H17" s="9"/>
      <c r="I17" s="9"/>
    </row>
    <row r="18" spans="1:9">
      <c r="A18" s="17"/>
      <c r="B18" s="18"/>
      <c r="C18" s="17"/>
      <c r="D18" s="19"/>
      <c r="E18" s="9"/>
      <c r="F18" s="9"/>
      <c r="G18" s="9"/>
      <c r="H18" s="9"/>
      <c r="I18" s="9"/>
    </row>
    <row r="19" spans="1:9">
      <c r="A19" s="9"/>
      <c r="B19" s="20" t="s">
        <v>12</v>
      </c>
      <c r="C19" s="9"/>
      <c r="D19" s="9"/>
      <c r="E19" s="9"/>
      <c r="F19" s="9"/>
      <c r="G19" s="9"/>
      <c r="H19" s="9"/>
      <c r="I19" s="9"/>
    </row>
    <row r="20" spans="1:9" ht="60" customHeight="1">
      <c r="A20" s="10">
        <v>5</v>
      </c>
      <c r="B20" s="11" t="s">
        <v>13</v>
      </c>
      <c r="C20" s="10" t="s">
        <v>7</v>
      </c>
      <c r="D20" s="12">
        <v>2778557.15</v>
      </c>
      <c r="E20" s="9"/>
      <c r="F20" s="9"/>
      <c r="G20" s="9"/>
      <c r="H20" s="9"/>
      <c r="I20" s="9"/>
    </row>
    <row r="21" spans="1:9">
      <c r="A21" s="9"/>
      <c r="B21" s="20"/>
      <c r="C21" s="9"/>
      <c r="D21" s="9"/>
      <c r="E21" s="9"/>
      <c r="F21" s="9"/>
      <c r="G21" s="9"/>
      <c r="H21" s="9"/>
      <c r="I21" s="9"/>
    </row>
    <row r="22" spans="1:9">
      <c r="A22" s="45" t="s">
        <v>14</v>
      </c>
      <c r="B22" s="46"/>
      <c r="C22" s="46"/>
      <c r="D22" s="46"/>
      <c r="E22" s="46"/>
      <c r="F22" s="46"/>
      <c r="G22" s="46"/>
      <c r="H22" s="46"/>
      <c r="I22" s="47"/>
    </row>
    <row r="23" spans="1:9">
      <c r="A23" s="38" t="s">
        <v>15</v>
      </c>
      <c r="B23" s="38" t="s">
        <v>16</v>
      </c>
      <c r="C23" s="40" t="s">
        <v>17</v>
      </c>
      <c r="D23" s="41"/>
      <c r="E23" s="40" t="s">
        <v>18</v>
      </c>
      <c r="F23" s="41"/>
      <c r="G23" s="40" t="s">
        <v>19</v>
      </c>
      <c r="H23" s="41"/>
      <c r="I23" s="21" t="s">
        <v>20</v>
      </c>
    </row>
    <row r="24" spans="1:9" ht="34.5">
      <c r="A24" s="39"/>
      <c r="B24" s="39"/>
      <c r="C24" s="22" t="s">
        <v>21</v>
      </c>
      <c r="D24" s="22" t="s">
        <v>22</v>
      </c>
      <c r="E24" s="22" t="s">
        <v>21</v>
      </c>
      <c r="F24" s="22" t="s">
        <v>22</v>
      </c>
      <c r="G24" s="22" t="s">
        <v>21</v>
      </c>
      <c r="H24" s="22" t="s">
        <v>22</v>
      </c>
      <c r="I24" s="23"/>
    </row>
    <row r="25" spans="1:9" ht="48" customHeight="1">
      <c r="A25" s="24">
        <v>1</v>
      </c>
      <c r="B25" s="23" t="s">
        <v>23</v>
      </c>
      <c r="C25" s="25"/>
      <c r="D25" s="25"/>
      <c r="E25" s="25">
        <f>13328.65</f>
        <v>13328.65</v>
      </c>
      <c r="F25" s="26">
        <f>E25/$C$8/6</f>
        <v>1.546534159472756</v>
      </c>
      <c r="G25" s="25">
        <f>26657*11400/10850</f>
        <v>28008.276497695853</v>
      </c>
      <c r="H25" s="26">
        <f>G25/$C$8/12</f>
        <v>1.6249116133908759</v>
      </c>
      <c r="I25" s="22" t="s">
        <v>24</v>
      </c>
    </row>
    <row r="26" spans="1:9" ht="53.25" customHeight="1">
      <c r="A26" s="24">
        <v>2</v>
      </c>
      <c r="B26" s="23" t="s">
        <v>25</v>
      </c>
      <c r="C26" s="25"/>
      <c r="D26" s="25"/>
      <c r="E26" s="25">
        <f>747.09</f>
        <v>747.09</v>
      </c>
      <c r="F26" s="26">
        <f>E26/$C$8/6</f>
        <v>8.6685463659147866E-2</v>
      </c>
      <c r="G26" s="25">
        <v>1000</v>
      </c>
      <c r="H26" s="26">
        <f>G26/$C$8/12</f>
        <v>5.8015408892601872E-2</v>
      </c>
      <c r="I26" s="23"/>
    </row>
    <row r="27" spans="1:9">
      <c r="A27" s="24">
        <v>3</v>
      </c>
      <c r="B27" s="23" t="s">
        <v>53</v>
      </c>
      <c r="C27" s="25"/>
      <c r="D27" s="25"/>
      <c r="E27" s="25">
        <f>423.61</f>
        <v>423.61</v>
      </c>
      <c r="F27" s="26">
        <f>E27/$C$8/6</f>
        <v>4.9151814721990157E-2</v>
      </c>
      <c r="G27" s="25">
        <v>1000</v>
      </c>
      <c r="H27" s="26">
        <f>G27/$C$8/12</f>
        <v>5.8015408892601872E-2</v>
      </c>
      <c r="I27" s="23"/>
    </row>
    <row r="28" spans="1:9">
      <c r="A28" s="24">
        <v>4</v>
      </c>
      <c r="B28" s="23" t="s">
        <v>54</v>
      </c>
      <c r="C28" s="25"/>
      <c r="D28" s="25"/>
      <c r="E28" s="25">
        <f>820.6</f>
        <v>820.6</v>
      </c>
      <c r="F28" s="26">
        <f>E28/$C$8/6</f>
        <v>9.5214889074538192E-2</v>
      </c>
      <c r="G28" s="25">
        <v>2000</v>
      </c>
      <c r="H28" s="26">
        <f>G28/$C$8/12</f>
        <v>0.11603081778520374</v>
      </c>
      <c r="I28" s="23"/>
    </row>
    <row r="29" spans="1:9" ht="50.25" customHeight="1">
      <c r="A29" s="27"/>
      <c r="B29" s="27" t="s">
        <v>26</v>
      </c>
      <c r="C29" s="28">
        <f>D29*$C$8*8</f>
        <v>48033.216</v>
      </c>
      <c r="D29" s="28">
        <v>4.18</v>
      </c>
      <c r="E29" s="28">
        <f>SUM(E25:E28)</f>
        <v>15319.95</v>
      </c>
      <c r="F29" s="28">
        <f>SUM(F25:F28)</f>
        <v>1.7775863269284322</v>
      </c>
      <c r="G29" s="28">
        <f>SUM(G25:G28)</f>
        <v>32008.276497695853</v>
      </c>
      <c r="H29" s="28">
        <f>G29/$C$8/12</f>
        <v>1.8569732489612836</v>
      </c>
      <c r="I29" s="27"/>
    </row>
    <row r="30" spans="1:9">
      <c r="A30" s="35" t="s">
        <v>27</v>
      </c>
      <c r="B30" s="36"/>
      <c r="C30" s="36"/>
      <c r="D30" s="36"/>
      <c r="E30" s="36"/>
      <c r="F30" s="36"/>
      <c r="G30" s="36"/>
      <c r="H30" s="36"/>
      <c r="I30" s="37"/>
    </row>
    <row r="31" spans="1:9">
      <c r="A31" s="38" t="s">
        <v>15</v>
      </c>
      <c r="B31" s="38" t="s">
        <v>16</v>
      </c>
      <c r="C31" s="40" t="s">
        <v>17</v>
      </c>
      <c r="D31" s="41"/>
      <c r="E31" s="40" t="s">
        <v>18</v>
      </c>
      <c r="F31" s="41"/>
      <c r="G31" s="40" t="s">
        <v>19</v>
      </c>
      <c r="H31" s="41"/>
      <c r="I31" s="21" t="s">
        <v>20</v>
      </c>
    </row>
    <row r="32" spans="1:9" ht="34.5">
      <c r="A32" s="39"/>
      <c r="B32" s="39"/>
      <c r="C32" s="22" t="s">
        <v>21</v>
      </c>
      <c r="D32" s="22" t="s">
        <v>22</v>
      </c>
      <c r="E32" s="22" t="s">
        <v>21</v>
      </c>
      <c r="F32" s="22" t="s">
        <v>22</v>
      </c>
      <c r="G32" s="22" t="s">
        <v>21</v>
      </c>
      <c r="H32" s="22" t="s">
        <v>22</v>
      </c>
      <c r="I32" s="23"/>
    </row>
    <row r="33" spans="1:9" ht="49.5" customHeight="1">
      <c r="A33" s="24">
        <v>1</v>
      </c>
      <c r="B33" s="23" t="s">
        <v>28</v>
      </c>
      <c r="C33" s="25"/>
      <c r="D33" s="25"/>
      <c r="E33" s="25">
        <v>21763.82</v>
      </c>
      <c r="F33" s="26">
        <f>E33/$C$8/6</f>
        <v>2.5252738327299729</v>
      </c>
      <c r="G33" s="25">
        <f>C9*5.51*12</f>
        <v>94974.768000000011</v>
      </c>
      <c r="H33" s="26">
        <f>G33/$C$8/12</f>
        <v>5.5100000000000007</v>
      </c>
      <c r="I33" s="22" t="s">
        <v>60</v>
      </c>
    </row>
    <row r="34" spans="1:9" ht="33" customHeight="1">
      <c r="A34" s="27"/>
      <c r="B34" s="27" t="s">
        <v>29</v>
      </c>
      <c r="C34" s="28">
        <f>D34*$C$8*8</f>
        <v>23671.872000000003</v>
      </c>
      <c r="D34" s="28">
        <v>2.06</v>
      </c>
      <c r="E34" s="28">
        <f>SUM(E33:E33)</f>
        <v>21763.82</v>
      </c>
      <c r="F34" s="28">
        <f>SUM(F33:F33)</f>
        <v>2.5252738327299729</v>
      </c>
      <c r="G34" s="28">
        <f>SUM(G33:G33)</f>
        <v>94974.768000000011</v>
      </c>
      <c r="H34" s="28">
        <f>G34/$C$8/12</f>
        <v>5.5100000000000007</v>
      </c>
      <c r="I34" s="27"/>
    </row>
    <row r="35" spans="1:9">
      <c r="A35" s="35" t="s">
        <v>30</v>
      </c>
      <c r="B35" s="36"/>
      <c r="C35" s="36"/>
      <c r="D35" s="36"/>
      <c r="E35" s="36"/>
      <c r="F35" s="36"/>
      <c r="G35" s="36"/>
      <c r="H35" s="36"/>
      <c r="I35" s="37"/>
    </row>
    <row r="36" spans="1:9">
      <c r="A36" s="38" t="s">
        <v>15</v>
      </c>
      <c r="B36" s="38" t="s">
        <v>16</v>
      </c>
      <c r="C36" s="40" t="s">
        <v>17</v>
      </c>
      <c r="D36" s="41"/>
      <c r="E36" s="40" t="s">
        <v>18</v>
      </c>
      <c r="F36" s="41"/>
      <c r="G36" s="40" t="s">
        <v>19</v>
      </c>
      <c r="H36" s="41"/>
      <c r="I36" s="21" t="s">
        <v>20</v>
      </c>
    </row>
    <row r="37" spans="1:9" ht="34.5">
      <c r="A37" s="39"/>
      <c r="B37" s="39"/>
      <c r="C37" s="22" t="s">
        <v>21</v>
      </c>
      <c r="D37" s="22" t="s">
        <v>22</v>
      </c>
      <c r="E37" s="22" t="s">
        <v>21</v>
      </c>
      <c r="F37" s="22" t="s">
        <v>22</v>
      </c>
      <c r="G37" s="22" t="s">
        <v>21</v>
      </c>
      <c r="H37" s="22" t="s">
        <v>22</v>
      </c>
      <c r="I37" s="23"/>
    </row>
    <row r="38" spans="1:9" ht="45" customHeight="1">
      <c r="A38" s="24">
        <v>1</v>
      </c>
      <c r="B38" s="23" t="s">
        <v>31</v>
      </c>
      <c r="C38" s="25"/>
      <c r="D38" s="25"/>
      <c r="E38" s="25">
        <f>533.89</f>
        <v>533.89</v>
      </c>
      <c r="F38" s="26">
        <f>E38/$C$8/6</f>
        <v>6.1947693307342427E-2</v>
      </c>
      <c r="G38" s="25">
        <v>2000</v>
      </c>
      <c r="H38" s="26">
        <f>G38/$C$8/12</f>
        <v>0.11603081778520374</v>
      </c>
      <c r="I38" s="22" t="s">
        <v>59</v>
      </c>
    </row>
    <row r="39" spans="1:9" ht="48.75" customHeight="1">
      <c r="A39" s="27"/>
      <c r="B39" s="27" t="s">
        <v>32</v>
      </c>
      <c r="C39" s="28">
        <f>D39*$C$8*8</f>
        <v>7928.9279999999999</v>
      </c>
      <c r="D39" s="28">
        <v>0.69</v>
      </c>
      <c r="E39" s="28">
        <f>SUM(E38:E38)</f>
        <v>533.89</v>
      </c>
      <c r="F39" s="28">
        <f>SUM(F38:F38)</f>
        <v>6.1947693307342427E-2</v>
      </c>
      <c r="G39" s="28">
        <f>SUM(G38:G38)</f>
        <v>2000</v>
      </c>
      <c r="H39" s="28">
        <f>G39/$C$8/12</f>
        <v>0.11603081778520374</v>
      </c>
      <c r="I39" s="27"/>
    </row>
    <row r="40" spans="1:9">
      <c r="A40" s="35" t="s">
        <v>33</v>
      </c>
      <c r="B40" s="36"/>
      <c r="C40" s="36"/>
      <c r="D40" s="36"/>
      <c r="E40" s="36"/>
      <c r="F40" s="36"/>
      <c r="G40" s="36"/>
      <c r="H40" s="36"/>
      <c r="I40" s="37"/>
    </row>
    <row r="41" spans="1:9">
      <c r="A41" s="38" t="s">
        <v>15</v>
      </c>
      <c r="B41" s="38" t="s">
        <v>16</v>
      </c>
      <c r="C41" s="40" t="s">
        <v>17</v>
      </c>
      <c r="D41" s="41"/>
      <c r="E41" s="40" t="s">
        <v>18</v>
      </c>
      <c r="F41" s="41"/>
      <c r="G41" s="40" t="s">
        <v>19</v>
      </c>
      <c r="H41" s="41"/>
      <c r="I41" s="21" t="s">
        <v>20</v>
      </c>
    </row>
    <row r="42" spans="1:9" ht="34.5">
      <c r="A42" s="39"/>
      <c r="B42" s="39"/>
      <c r="C42" s="22" t="s">
        <v>21</v>
      </c>
      <c r="D42" s="22" t="s">
        <v>22</v>
      </c>
      <c r="E42" s="22" t="s">
        <v>21</v>
      </c>
      <c r="F42" s="22" t="s">
        <v>22</v>
      </c>
      <c r="G42" s="22" t="s">
        <v>21</v>
      </c>
      <c r="H42" s="22" t="s">
        <v>22</v>
      </c>
      <c r="I42" s="23"/>
    </row>
    <row r="43" spans="1:9" ht="40.5" customHeight="1">
      <c r="A43" s="24">
        <v>1</v>
      </c>
      <c r="B43" s="23" t="s">
        <v>34</v>
      </c>
      <c r="C43" s="25"/>
      <c r="D43" s="25"/>
      <c r="E43" s="25">
        <f>23705.3</f>
        <v>23705.3</v>
      </c>
      <c r="F43" s="26">
        <f>E43/$C$8/6</f>
        <v>2.7505453448435904</v>
      </c>
      <c r="G43" s="25">
        <f>47411*11400/10850</f>
        <v>49814.322580645159</v>
      </c>
      <c r="H43" s="26">
        <f>G43/$C$8/12</f>
        <v>2.8899982932240995</v>
      </c>
      <c r="I43" s="22"/>
    </row>
    <row r="44" spans="1:9">
      <c r="A44" s="24">
        <v>2</v>
      </c>
      <c r="B44" s="23" t="s">
        <v>35</v>
      </c>
      <c r="C44" s="25"/>
      <c r="D44" s="25"/>
      <c r="E44" s="25">
        <f>1699</f>
        <v>1699</v>
      </c>
      <c r="F44" s="26">
        <f>E44/$C$8/6</f>
        <v>0.19713635941706117</v>
      </c>
      <c r="G44" s="25">
        <v>61590</v>
      </c>
      <c r="H44" s="26">
        <f>G44/$C$8/12</f>
        <v>3.5731690336953492</v>
      </c>
      <c r="I44" s="23"/>
    </row>
    <row r="45" spans="1:9" ht="48.75" customHeight="1">
      <c r="A45" s="27"/>
      <c r="B45" s="27" t="s">
        <v>36</v>
      </c>
      <c r="C45" s="28">
        <f>D45*$C$8*8</f>
        <v>32864.832000000002</v>
      </c>
      <c r="D45" s="28">
        <v>2.86</v>
      </c>
      <c r="E45" s="28">
        <f>SUM(E43:E44)</f>
        <v>25404.3</v>
      </c>
      <c r="F45" s="28">
        <f>SUM(F43:F44)</f>
        <v>2.9476817042606513</v>
      </c>
      <c r="G45" s="28">
        <f>SUM(G43:G44)</f>
        <v>111404.32258064515</v>
      </c>
      <c r="H45" s="28">
        <f>G45/$C$8/12</f>
        <v>6.4631673269194474</v>
      </c>
      <c r="I45" s="27"/>
    </row>
    <row r="46" spans="1:9">
      <c r="A46" s="35" t="s">
        <v>37</v>
      </c>
      <c r="B46" s="36"/>
      <c r="C46" s="36"/>
      <c r="D46" s="36"/>
      <c r="E46" s="36"/>
      <c r="F46" s="36"/>
      <c r="G46" s="36"/>
      <c r="H46" s="36"/>
      <c r="I46" s="37"/>
    </row>
    <row r="47" spans="1:9">
      <c r="A47" s="38" t="s">
        <v>15</v>
      </c>
      <c r="B47" s="38" t="s">
        <v>16</v>
      </c>
      <c r="C47" s="40" t="s">
        <v>17</v>
      </c>
      <c r="D47" s="41"/>
      <c r="E47" s="40" t="s">
        <v>18</v>
      </c>
      <c r="F47" s="41"/>
      <c r="G47" s="40" t="s">
        <v>19</v>
      </c>
      <c r="H47" s="41"/>
      <c r="I47" s="21" t="s">
        <v>20</v>
      </c>
    </row>
    <row r="48" spans="1:9" ht="34.5">
      <c r="A48" s="39"/>
      <c r="B48" s="39"/>
      <c r="C48" s="22" t="s">
        <v>21</v>
      </c>
      <c r="D48" s="22" t="s">
        <v>22</v>
      </c>
      <c r="E48" s="22" t="s">
        <v>21</v>
      </c>
      <c r="F48" s="22" t="s">
        <v>22</v>
      </c>
      <c r="G48" s="22" t="s">
        <v>21</v>
      </c>
      <c r="H48" s="22" t="s">
        <v>22</v>
      </c>
      <c r="I48" s="23"/>
    </row>
    <row r="49" spans="1:9" ht="40.5" customHeight="1">
      <c r="A49" s="24">
        <v>1</v>
      </c>
      <c r="B49" s="23" t="s">
        <v>55</v>
      </c>
      <c r="C49" s="25"/>
      <c r="D49" s="25"/>
      <c r="E49" s="25">
        <f>6589</f>
        <v>6589</v>
      </c>
      <c r="F49" s="26">
        <f>E49/$C$8/6</f>
        <v>0.76452705838670754</v>
      </c>
      <c r="G49" s="25">
        <f>13178*11400/10850</f>
        <v>13846.009216589862</v>
      </c>
      <c r="H49" s="26">
        <f>G49/$C$8/12</f>
        <v>0.8032818862311949</v>
      </c>
      <c r="I49" s="22"/>
    </row>
    <row r="50" spans="1:9">
      <c r="A50" s="24">
        <v>2</v>
      </c>
      <c r="B50" s="23" t="s">
        <v>35</v>
      </c>
      <c r="C50" s="25"/>
      <c r="D50" s="25"/>
      <c r="E50" s="25">
        <f>201</f>
        <v>201</v>
      </c>
      <c r="F50" s="26">
        <f>E50/$C$8/6</f>
        <v>2.3322194374825952E-2</v>
      </c>
      <c r="G50" s="25">
        <v>5450</v>
      </c>
      <c r="H50" s="26">
        <f>G50/$C$8/12</f>
        <v>0.31618397846468022</v>
      </c>
      <c r="I50" s="23"/>
    </row>
    <row r="51" spans="1:9" ht="26.25" customHeight="1">
      <c r="A51" s="24">
        <v>3</v>
      </c>
      <c r="B51" s="23" t="s">
        <v>38</v>
      </c>
      <c r="C51" s="25"/>
      <c r="D51" s="25"/>
      <c r="E51" s="25">
        <f>E53+E54+E55+E56</f>
        <v>501.79</v>
      </c>
      <c r="F51" s="25">
        <f>F53+F54+F55+F56</f>
        <v>5.8223104056437387E-2</v>
      </c>
      <c r="G51" s="25">
        <f>G53+G54+G55+G56</f>
        <v>1000</v>
      </c>
      <c r="H51" s="26">
        <f>G51/$C$8/12</f>
        <v>5.8015408892601872E-2</v>
      </c>
      <c r="I51" s="23"/>
    </row>
    <row r="52" spans="1:9">
      <c r="A52" s="24"/>
      <c r="B52" s="23" t="s">
        <v>39</v>
      </c>
      <c r="C52" s="25"/>
      <c r="D52" s="25"/>
      <c r="E52" s="25"/>
      <c r="F52" s="26"/>
      <c r="G52" s="25"/>
      <c r="H52" s="26"/>
      <c r="I52" s="23"/>
    </row>
    <row r="53" spans="1:9" ht="27" customHeight="1">
      <c r="A53" s="29"/>
      <c r="B53" s="29" t="s">
        <v>40</v>
      </c>
      <c r="C53" s="30"/>
      <c r="D53" s="30"/>
      <c r="E53" s="30">
        <f>501.79</f>
        <v>501.79</v>
      </c>
      <c r="F53" s="26">
        <f>E53/$C$8/6</f>
        <v>5.8223104056437387E-2</v>
      </c>
      <c r="G53" s="30">
        <v>1000</v>
      </c>
      <c r="H53" s="26">
        <f t="shared" ref="H53:H56" si="0">G53/$C$8/12</f>
        <v>5.8015408892601872E-2</v>
      </c>
      <c r="I53" s="29"/>
    </row>
    <row r="54" spans="1:9" ht="36.75" customHeight="1">
      <c r="A54" s="29"/>
      <c r="B54" s="29" t="s">
        <v>57</v>
      </c>
      <c r="C54" s="30"/>
      <c r="D54" s="30"/>
      <c r="E54" s="30"/>
      <c r="F54" s="26">
        <f>E54/$C$8/6</f>
        <v>0</v>
      </c>
      <c r="G54" s="30"/>
      <c r="H54" s="26">
        <f t="shared" si="0"/>
        <v>0</v>
      </c>
      <c r="I54" s="29"/>
    </row>
    <row r="55" spans="1:9" ht="18.75" customHeight="1">
      <c r="A55" s="29"/>
      <c r="B55" s="29" t="s">
        <v>41</v>
      </c>
      <c r="C55" s="30"/>
      <c r="D55" s="30"/>
      <c r="E55" s="30"/>
      <c r="F55" s="26">
        <f>E55/$C$8/6</f>
        <v>0</v>
      </c>
      <c r="G55" s="30"/>
      <c r="H55" s="26">
        <f t="shared" si="0"/>
        <v>0</v>
      </c>
      <c r="I55" s="29"/>
    </row>
    <row r="56" spans="1:9" ht="21.75" customHeight="1">
      <c r="A56" s="29"/>
      <c r="B56" s="29" t="s">
        <v>56</v>
      </c>
      <c r="C56" s="30"/>
      <c r="D56" s="30"/>
      <c r="E56" s="30">
        <v>0</v>
      </c>
      <c r="F56" s="26">
        <f>E56/$C$8/6</f>
        <v>0</v>
      </c>
      <c r="G56" s="30"/>
      <c r="H56" s="26">
        <f t="shared" si="0"/>
        <v>0</v>
      </c>
      <c r="I56" s="29"/>
    </row>
    <row r="57" spans="1:9" ht="27.75" customHeight="1">
      <c r="A57" s="27"/>
      <c r="B57" s="27" t="s">
        <v>42</v>
      </c>
      <c r="C57" s="28">
        <f>D57*$C$8*8</f>
        <v>31485.888000000003</v>
      </c>
      <c r="D57" s="28">
        <v>2.74</v>
      </c>
      <c r="E57" s="28">
        <f>SUM(E49:E51)</f>
        <v>7291.79</v>
      </c>
      <c r="F57" s="28">
        <f>SUM(F49:F51)</f>
        <v>0.84607235681797088</v>
      </c>
      <c r="G57" s="28">
        <f>SUM(G49:G51)</f>
        <v>20296.00921658986</v>
      </c>
      <c r="H57" s="28">
        <f>G57/$C$8/12</f>
        <v>1.177481273588477</v>
      </c>
      <c r="I57" s="27"/>
    </row>
    <row r="58" spans="1:9">
      <c r="A58" s="35" t="s">
        <v>43</v>
      </c>
      <c r="B58" s="36"/>
      <c r="C58" s="36"/>
      <c r="D58" s="36"/>
      <c r="E58" s="36"/>
      <c r="F58" s="36"/>
      <c r="G58" s="36"/>
      <c r="H58" s="36"/>
      <c r="I58" s="37"/>
    </row>
    <row r="59" spans="1:9">
      <c r="A59" s="38" t="s">
        <v>15</v>
      </c>
      <c r="B59" s="38" t="s">
        <v>16</v>
      </c>
      <c r="C59" s="40" t="s">
        <v>17</v>
      </c>
      <c r="D59" s="41"/>
      <c r="E59" s="40" t="s">
        <v>18</v>
      </c>
      <c r="F59" s="41"/>
      <c r="G59" s="40" t="s">
        <v>19</v>
      </c>
      <c r="H59" s="41"/>
      <c r="I59" s="21" t="s">
        <v>20</v>
      </c>
    </row>
    <row r="60" spans="1:9" ht="34.5">
      <c r="A60" s="39"/>
      <c r="B60" s="39"/>
      <c r="C60" s="22" t="s">
        <v>21</v>
      </c>
      <c r="D60" s="22" t="s">
        <v>22</v>
      </c>
      <c r="E60" s="22" t="s">
        <v>21</v>
      </c>
      <c r="F60" s="22" t="s">
        <v>22</v>
      </c>
      <c r="G60" s="22" t="s">
        <v>21</v>
      </c>
      <c r="H60" s="22" t="s">
        <v>22</v>
      </c>
      <c r="I60" s="23"/>
    </row>
    <row r="61" spans="1:9" ht="45" customHeight="1">
      <c r="A61" s="24">
        <v>1</v>
      </c>
      <c r="B61" s="23" t="s">
        <v>44</v>
      </c>
      <c r="C61" s="25"/>
      <c r="D61" s="25"/>
      <c r="E61" s="25">
        <f>5195.13-2200</f>
        <v>2995.13</v>
      </c>
      <c r="F61" s="26">
        <f>E61/$C$8/6</f>
        <v>0.34752738327299731</v>
      </c>
      <c r="G61" s="25">
        <f>E61*11400/10850</f>
        <v>3146.9568663594468</v>
      </c>
      <c r="H61" s="26">
        <f>G61/$C$8/12</f>
        <v>0.18257198936922436</v>
      </c>
      <c r="I61" s="22"/>
    </row>
    <row r="62" spans="1:9" ht="58.5" customHeight="1">
      <c r="A62" s="24">
        <v>2</v>
      </c>
      <c r="B62" s="23" t="s">
        <v>45</v>
      </c>
      <c r="C62" s="25"/>
      <c r="D62" s="25"/>
      <c r="E62" s="25">
        <f>2301.75</f>
        <v>2301.75</v>
      </c>
      <c r="F62" s="26">
        <f>E62/$C$8/6</f>
        <v>0.26707393483709269</v>
      </c>
      <c r="G62" s="25">
        <f>5120-2580</f>
        <v>2540</v>
      </c>
      <c r="H62" s="26">
        <f>G62/$C$8/12</f>
        <v>0.14735913858720875</v>
      </c>
      <c r="I62" s="23"/>
    </row>
    <row r="63" spans="1:9" ht="30.75" customHeight="1">
      <c r="A63" s="24">
        <v>3</v>
      </c>
      <c r="B63" s="23" t="s">
        <v>46</v>
      </c>
      <c r="C63" s="25"/>
      <c r="D63" s="25"/>
      <c r="E63" s="25">
        <v>2200</v>
      </c>
      <c r="F63" s="26">
        <f>E63/$C$8/6</f>
        <v>0.25526779912744824</v>
      </c>
      <c r="G63" s="25">
        <v>2580</v>
      </c>
      <c r="H63" s="26">
        <f>G63/$C$8/12</f>
        <v>0.14967975494291283</v>
      </c>
      <c r="I63" s="23"/>
    </row>
    <row r="64" spans="1:9" ht="33" customHeight="1">
      <c r="A64" s="27"/>
      <c r="B64" s="27" t="s">
        <v>47</v>
      </c>
      <c r="C64" s="28">
        <f>D64*$C$8*8</f>
        <v>41885.424000000006</v>
      </c>
      <c r="D64" s="28">
        <v>3.645</v>
      </c>
      <c r="E64" s="28">
        <f>SUM(E61:E63)</f>
        <v>7496.88</v>
      </c>
      <c r="F64" s="28">
        <f>SUM(F61:F63)</f>
        <v>0.86986911723753824</v>
      </c>
      <c r="G64" s="28">
        <f>SUM(G61:G63)</f>
        <v>8266.9568663594473</v>
      </c>
      <c r="H64" s="28">
        <f>G64/$C$8/12</f>
        <v>0.47961088289934595</v>
      </c>
      <c r="I64" s="27"/>
    </row>
    <row r="65" spans="1:9" s="50" customFormat="1">
      <c r="A65" s="48"/>
      <c r="B65" s="48" t="s">
        <v>48</v>
      </c>
      <c r="C65" s="49">
        <f>C29+C34+C39+C45+C57+C64</f>
        <v>185870.16</v>
      </c>
      <c r="D65" s="49"/>
      <c r="E65" s="49">
        <f>((E29+E34+E39+E45+E57+E64)*1.05)*1.18</f>
        <v>96407.370569999999</v>
      </c>
      <c r="F65" s="49"/>
      <c r="G65" s="49">
        <f>G29+G34+G39+G45+G57+G64</f>
        <v>268950.33316129033</v>
      </c>
      <c r="H65" s="49"/>
      <c r="I65" s="48"/>
    </row>
    <row r="66" spans="1:9" ht="30">
      <c r="A66" s="23"/>
      <c r="B66" s="23" t="s">
        <v>49</v>
      </c>
      <c r="C66" s="25">
        <f>C65+C67</f>
        <v>195163.66800000001</v>
      </c>
      <c r="D66" s="25"/>
      <c r="E66" s="25">
        <f>(D13+D14)/1.18</f>
        <v>156943.60169491527</v>
      </c>
      <c r="F66" s="25"/>
      <c r="G66" s="25">
        <f>G65+G67</f>
        <v>292645.33316129033</v>
      </c>
      <c r="H66" s="25"/>
      <c r="I66" s="23"/>
    </row>
    <row r="67" spans="1:9" ht="30">
      <c r="A67" s="23"/>
      <c r="B67" s="23" t="s">
        <v>52</v>
      </c>
      <c r="C67" s="25">
        <f>C65*0.05</f>
        <v>9293.5079999999998</v>
      </c>
      <c r="D67" s="25"/>
      <c r="E67" s="25">
        <f>D16-E65</f>
        <v>31158.369430000006</v>
      </c>
      <c r="F67" s="25"/>
      <c r="G67" s="25">
        <v>23695</v>
      </c>
      <c r="H67" s="25"/>
      <c r="I67" s="23"/>
    </row>
    <row r="68" spans="1:9" ht="28.5" customHeight="1">
      <c r="A68" s="23"/>
      <c r="B68" s="23" t="s">
        <v>50</v>
      </c>
      <c r="C68" s="25"/>
      <c r="D68" s="25">
        <f>C66/C8/8</f>
        <v>16.983750000000001</v>
      </c>
      <c r="E68" s="25"/>
      <c r="F68" s="25">
        <f>D68</f>
        <v>16.983750000000001</v>
      </c>
      <c r="G68" s="25">
        <f>G66/$C$8/12</f>
        <v>16.977938663863959</v>
      </c>
      <c r="H68" s="25">
        <f>H29+H34+H39+H45+H57+H64+G67/C8/12</f>
        <v>16.977938663863959</v>
      </c>
      <c r="I68" s="23"/>
    </row>
    <row r="69" spans="1:9" ht="13.5" customHeight="1">
      <c r="A69" s="23"/>
      <c r="B69" s="23" t="s">
        <v>51</v>
      </c>
      <c r="C69" s="25"/>
      <c r="D69" s="25">
        <f>D68*1.18</f>
        <v>20.040824999999998</v>
      </c>
      <c r="E69" s="25"/>
      <c r="F69" s="25">
        <f>D69</f>
        <v>20.040824999999998</v>
      </c>
      <c r="G69" s="25">
        <f>G68*1.18</f>
        <v>20.033967623359469</v>
      </c>
      <c r="H69" s="25">
        <f>H68*1.18+0.003</f>
        <v>20.03696762335947</v>
      </c>
      <c r="I69" s="23"/>
    </row>
    <row r="71" spans="1:9">
      <c r="E71" s="34"/>
      <c r="G71" s="31"/>
    </row>
    <row r="72" spans="1:9">
      <c r="E72" s="34"/>
    </row>
    <row r="73" spans="1:9">
      <c r="E73" s="34"/>
    </row>
  </sheetData>
  <mergeCells count="37">
    <mergeCell ref="A12:D12"/>
    <mergeCell ref="A22:I22"/>
    <mergeCell ref="A23:A24"/>
    <mergeCell ref="B23:B24"/>
    <mergeCell ref="C23:D23"/>
    <mergeCell ref="E23:F23"/>
    <mergeCell ref="G23:H23"/>
    <mergeCell ref="A30:I30"/>
    <mergeCell ref="A31:A32"/>
    <mergeCell ref="B31:B32"/>
    <mergeCell ref="C31:D31"/>
    <mergeCell ref="E31:F31"/>
    <mergeCell ref="G31:H31"/>
    <mergeCell ref="A35:I35"/>
    <mergeCell ref="A36:A37"/>
    <mergeCell ref="B36:B37"/>
    <mergeCell ref="C36:D36"/>
    <mergeCell ref="E36:F36"/>
    <mergeCell ref="G36:H36"/>
    <mergeCell ref="A40:I40"/>
    <mergeCell ref="A41:A42"/>
    <mergeCell ref="B41:B42"/>
    <mergeCell ref="C41:D41"/>
    <mergeCell ref="E41:F41"/>
    <mergeCell ref="G41:H41"/>
    <mergeCell ref="A46:I46"/>
    <mergeCell ref="A47:A48"/>
    <mergeCell ref="B47:B48"/>
    <mergeCell ref="C47:D47"/>
    <mergeCell ref="E47:F47"/>
    <mergeCell ref="G47:H47"/>
    <mergeCell ref="A58:I58"/>
    <mergeCell ref="A59:A60"/>
    <mergeCell ref="B59:B60"/>
    <mergeCell ref="C59:D59"/>
    <mergeCell ref="E59:F59"/>
    <mergeCell ref="G59:H5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Бессонова</dc:creator>
  <cp:lastModifiedBy>Бессонова</cp:lastModifiedBy>
  <dcterms:created xsi:type="dcterms:W3CDTF">2018-01-19T10:12:51Z</dcterms:created>
  <dcterms:modified xsi:type="dcterms:W3CDTF">2018-04-17T07:44:22Z</dcterms:modified>
</cp:coreProperties>
</file>