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50"/>
  <c r="E61"/>
  <c r="E49"/>
  <c r="E25"/>
  <c r="E26"/>
  <c r="E27"/>
  <c r="E28"/>
  <c r="E38"/>
  <c r="E44"/>
  <c r="E53"/>
  <c r="E62"/>
  <c r="E43"/>
  <c r="E50"/>
  <c r="C9" l="1"/>
  <c r="G33" s="1"/>
  <c r="G25" l="1"/>
  <c r="G49" l="1"/>
  <c r="D14" l="1"/>
  <c r="E66" s="1"/>
  <c r="C8" l="1"/>
  <c r="D17"/>
  <c r="E51"/>
  <c r="G51"/>
  <c r="G39"/>
  <c r="E39"/>
  <c r="G29"/>
  <c r="E29"/>
  <c r="H63"/>
  <c r="F54" l="1"/>
  <c r="F56"/>
  <c r="F63"/>
  <c r="F33"/>
  <c r="F34" s="1"/>
  <c r="C64"/>
  <c r="C45"/>
  <c r="C34"/>
  <c r="F55"/>
  <c r="F62"/>
  <c r="F49"/>
  <c r="F28"/>
  <c r="F26"/>
  <c r="C57"/>
  <c r="C39"/>
  <c r="C29"/>
  <c r="F43"/>
  <c r="F45" s="1"/>
  <c r="F38"/>
  <c r="F39" s="1"/>
  <c r="F25"/>
  <c r="F29" s="1"/>
  <c r="F50"/>
  <c r="F53"/>
  <c r="F51" s="1"/>
  <c r="F27"/>
  <c r="F61"/>
  <c r="F64" s="1"/>
  <c r="F44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57" l="1"/>
  <c r="E45"/>
  <c r="G43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  <c r="G68" s="1"/>
  <c r="G69" s="1"/>
</calcChain>
</file>

<file path=xl/sharedStrings.xml><?xml version="1.0" encoding="utf-8"?>
<sst xmlns="http://schemas.openxmlformats.org/spreadsheetml/2006/main" count="129" uniqueCount="62">
  <si>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</si>
  <si>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</si>
  <si>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</si>
  <si>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</si>
  <si>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</si>
  <si>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</si>
  <si>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</si>
  <si>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</si>
  <si>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</si>
  <si>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</si>
  <si>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</si>
  <si>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</si>
  <si>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</si>
  <si>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</si>
  <si>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</si>
  <si>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</si>
  <si>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</si>
  <si>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</si>
  <si>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</si>
  <si>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</si>
  <si>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</si>
  <si>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</si>
  <si>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</si>
  <si>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</si>
  <si>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</si>
  <si>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</si>
  <si>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</si>
  <si>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</si>
  <si>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</si>
  <si>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</si>
  <si>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</si>
  <si>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</si>
  <si>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</si>
  <si>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Плановая годовая стоимость на 2016г., руб. без НДС</t>
  </si>
  <si>
    <t>Фактическая годовая стоимость за 2016 год, руб. без НДС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</si>
  <si>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</si>
  <si>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</si>
  <si>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</si>
  <si>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</si>
  <si>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</si>
  <si>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</si>
  <si>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</si>
  <si>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</si>
  <si>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</si>
  <si>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</si>
  <si>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</si>
  <si>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</si>
  <si>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</si>
  <si>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</si>
  <si>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</si>
  <si>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</si>
  <si>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</si>
  <si>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</si>
  <si>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</si>
  <si>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</si>
  <si>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</si>
  <si>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</si>
  <si>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отмостки,крыльцо,восстановление приямков</t>
  </si>
  <si>
    <t>Адрес многоквартирного дома: ГП Лопухинка , Глобицы,ул. Героев 6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</si>
  <si>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</si>
  <si>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</si>
  <si>
    <t>Общая информация о финансовых расчетах с потребителями за 2017год.                                  (ПО ЖИЛИЩНЫМ УСЛУГАМ)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</si>
</sst>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64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58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1209.9000000000001</v>
      </c>
      <c r="D8" s="3"/>
    </row>
    <row r="9" spans="1:9">
      <c r="A9" s="2"/>
      <c r="B9" s="4" t="s">
        <v>3</v>
      </c>
      <c r="C9" s="5">
        <f>1209.9</f>
        <v>1209.9000000000001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3.75" customHeight="1">
      <c r="A12" s="35" t="s">
        <v>61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5</v>
      </c>
      <c r="C13" s="10" t="s">
        <v>6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7</v>
      </c>
      <c r="C14" s="10" t="s">
        <v>6</v>
      </c>
      <c r="D14" s="32">
        <f>D15</f>
        <v>171250.81</v>
      </c>
      <c r="E14" s="13"/>
      <c r="F14" s="9"/>
      <c r="G14" s="9"/>
      <c r="H14" s="9"/>
      <c r="I14" s="9"/>
    </row>
    <row r="15" spans="1:9">
      <c r="A15" s="14"/>
      <c r="B15" s="15" t="s">
        <v>8</v>
      </c>
      <c r="C15" s="14"/>
      <c r="D15" s="33">
        <v>171250.81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9</v>
      </c>
      <c r="C16" s="10" t="s">
        <v>6</v>
      </c>
      <c r="D16" s="33">
        <v>107874.69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10</v>
      </c>
      <c r="C17" s="10" t="s">
        <v>6</v>
      </c>
      <c r="D17" s="32">
        <f>D13+D14-D16</f>
        <v>63376.119999999995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11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12</v>
      </c>
      <c r="C20" s="10" t="s">
        <v>6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13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14</v>
      </c>
      <c r="B23" s="41" t="s">
        <v>15</v>
      </c>
      <c r="C23" s="43" t="s">
        <v>16</v>
      </c>
      <c r="D23" s="44"/>
      <c r="E23" s="43" t="s">
        <v>17</v>
      </c>
      <c r="F23" s="44"/>
      <c r="G23" s="43" t="s">
        <v>18</v>
      </c>
      <c r="H23" s="44"/>
      <c r="I23" s="21" t="s">
        <v>19</v>
      </c>
    </row>
    <row r="24" spans="1:9" ht="34.5">
      <c r="A24" s="42"/>
      <c r="B24" s="42"/>
      <c r="C24" s="22" t="s">
        <v>20</v>
      </c>
      <c r="D24" s="22" t="s">
        <v>21</v>
      </c>
      <c r="E24" s="22" t="s">
        <v>20</v>
      </c>
      <c r="F24" s="22" t="s">
        <v>21</v>
      </c>
      <c r="G24" s="22" t="s">
        <v>20</v>
      </c>
      <c r="H24" s="22" t="s">
        <v>21</v>
      </c>
      <c r="I24" s="23"/>
    </row>
    <row r="25" spans="1:9" ht="48" customHeight="1">
      <c r="A25" s="24">
        <v>1</v>
      </c>
      <c r="B25" s="23" t="s">
        <v>22</v>
      </c>
      <c r="C25" s="25"/>
      <c r="D25" s="25"/>
      <c r="E25" s="25">
        <f>16410</f>
        <v>16410</v>
      </c>
      <c r="F25" s="26">
        <f>E25/$C$8/6</f>
        <v>2.2605173981320767</v>
      </c>
      <c r="G25" s="25">
        <f>E25*11400/10850</f>
        <v>17241.843317972351</v>
      </c>
      <c r="H25" s="26">
        <f>G25/$C$8/12</f>
        <v>1.187552918834363</v>
      </c>
      <c r="I25" s="22" t="s">
        <v>23</v>
      </c>
    </row>
    <row r="26" spans="1:9" ht="53.25" customHeight="1">
      <c r="A26" s="24">
        <v>2</v>
      </c>
      <c r="B26" s="23" t="s">
        <v>24</v>
      </c>
      <c r="C26" s="25"/>
      <c r="D26" s="25"/>
      <c r="E26" s="25">
        <f>629.28</f>
        <v>629.28</v>
      </c>
      <c r="F26" s="26">
        <f>E26/$C$8/6</f>
        <v>8.6684849987602272E-2</v>
      </c>
      <c r="G26" s="25">
        <v>1000</v>
      </c>
      <c r="H26" s="26">
        <f>G26/$C$8/12</f>
        <v>6.8876215665206478E-2</v>
      </c>
      <c r="I26" s="23"/>
    </row>
    <row r="27" spans="1:9">
      <c r="A27" s="24">
        <v>3</v>
      </c>
      <c r="B27" s="23" t="s">
        <v>54</v>
      </c>
      <c r="C27" s="25"/>
      <c r="D27" s="25"/>
      <c r="E27" s="25">
        <f>356.82</f>
        <v>356.82</v>
      </c>
      <c r="F27" s="26">
        <f>E27/$C$8/6</f>
        <v>4.9152822547317954E-2</v>
      </c>
      <c r="G27" s="25">
        <v>1000</v>
      </c>
      <c r="H27" s="26">
        <f>G27/$C$8/12</f>
        <v>6.8876215665206478E-2</v>
      </c>
      <c r="I27" s="23"/>
    </row>
    <row r="28" spans="1:9">
      <c r="A28" s="24">
        <v>4</v>
      </c>
      <c r="B28" s="23" t="s">
        <v>55</v>
      </c>
      <c r="C28" s="25"/>
      <c r="D28" s="25"/>
      <c r="E28" s="25">
        <f>1365.05</f>
        <v>1365.05</v>
      </c>
      <c r="F28" s="26">
        <f>E28/$C$8/6</f>
        <v>0.1880389563875802</v>
      </c>
      <c r="G28" s="25">
        <v>2000</v>
      </c>
      <c r="H28" s="26">
        <f>G28/$C$8/12</f>
        <v>0.13775243133041296</v>
      </c>
      <c r="I28" s="23"/>
    </row>
    <row r="29" spans="1:9" ht="50.25" customHeight="1">
      <c r="A29" s="27"/>
      <c r="B29" s="27" t="s">
        <v>25</v>
      </c>
      <c r="C29" s="28">
        <f>D29*$C$8*8</f>
        <v>40459.055999999997</v>
      </c>
      <c r="D29" s="28">
        <v>4.18</v>
      </c>
      <c r="E29" s="28">
        <f>SUM(E25:E28)</f>
        <v>18761.149999999998</v>
      </c>
      <c r="F29" s="28">
        <f>SUM(F25:F28)</f>
        <v>2.5843940270545773</v>
      </c>
      <c r="G29" s="28">
        <f>SUM(G25:G28)</f>
        <v>21241.843317972351</v>
      </c>
      <c r="H29" s="28">
        <f>G29/$C$8/12</f>
        <v>1.4630577814951888</v>
      </c>
      <c r="I29" s="27"/>
    </row>
    <row r="30" spans="1:9">
      <c r="A30" s="45" t="s">
        <v>26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14</v>
      </c>
      <c r="B31" s="41" t="s">
        <v>15</v>
      </c>
      <c r="C31" s="43" t="s">
        <v>16</v>
      </c>
      <c r="D31" s="44"/>
      <c r="E31" s="43" t="s">
        <v>17</v>
      </c>
      <c r="F31" s="44"/>
      <c r="G31" s="43" t="s">
        <v>18</v>
      </c>
      <c r="H31" s="44"/>
      <c r="I31" s="21" t="s">
        <v>19</v>
      </c>
    </row>
    <row r="32" spans="1:9" ht="34.5">
      <c r="A32" s="42"/>
      <c r="B32" s="42"/>
      <c r="C32" s="22" t="s">
        <v>20</v>
      </c>
      <c r="D32" s="22" t="s">
        <v>21</v>
      </c>
      <c r="E32" s="22" t="s">
        <v>20</v>
      </c>
      <c r="F32" s="22" t="s">
        <v>21</v>
      </c>
      <c r="G32" s="22" t="s">
        <v>20</v>
      </c>
      <c r="H32" s="22" t="s">
        <v>21</v>
      </c>
      <c r="I32" s="23"/>
    </row>
    <row r="33" spans="1:9" ht="49.5" customHeight="1">
      <c r="A33" s="24">
        <v>1</v>
      </c>
      <c r="B33" s="23" t="s">
        <v>27</v>
      </c>
      <c r="C33" s="25"/>
      <c r="D33" s="25"/>
      <c r="E33" s="25">
        <v>19559.259999999998</v>
      </c>
      <c r="F33" s="26">
        <f>E33/$C$8/6</f>
        <v>2.694335620023693</v>
      </c>
      <c r="G33" s="25">
        <f>C9*12*5.51</f>
        <v>79998.588000000003</v>
      </c>
      <c r="H33" s="26">
        <f>G33/$C$8/12</f>
        <v>5.5100000000000007</v>
      </c>
      <c r="I33" s="22" t="s">
        <v>60</v>
      </c>
    </row>
    <row r="34" spans="1:9" ht="33" customHeight="1">
      <c r="A34" s="27"/>
      <c r="B34" s="27" t="s">
        <v>28</v>
      </c>
      <c r="C34" s="28">
        <f>D34*$C$8*8</f>
        <v>19939.152000000002</v>
      </c>
      <c r="D34" s="28">
        <v>2.06</v>
      </c>
      <c r="E34" s="28">
        <f>SUM(E33:E33)</f>
        <v>19559.259999999998</v>
      </c>
      <c r="F34" s="28">
        <f>SUM(F33:F33)</f>
        <v>2.694335620023693</v>
      </c>
      <c r="G34" s="28">
        <f>SUM(G33:G33)</f>
        <v>79998.588000000003</v>
      </c>
      <c r="H34" s="28">
        <f>G34/$C$8/12</f>
        <v>5.5100000000000007</v>
      </c>
      <c r="I34" s="27"/>
    </row>
    <row r="35" spans="1:9">
      <c r="A35" s="45" t="s">
        <v>29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14</v>
      </c>
      <c r="B36" s="41" t="s">
        <v>15</v>
      </c>
      <c r="C36" s="43" t="s">
        <v>16</v>
      </c>
      <c r="D36" s="44"/>
      <c r="E36" s="43" t="s">
        <v>17</v>
      </c>
      <c r="F36" s="44"/>
      <c r="G36" s="43" t="s">
        <v>18</v>
      </c>
      <c r="H36" s="44"/>
      <c r="I36" s="21" t="s">
        <v>19</v>
      </c>
    </row>
    <row r="37" spans="1:9" ht="34.5">
      <c r="A37" s="42"/>
      <c r="B37" s="42"/>
      <c r="C37" s="22" t="s">
        <v>20</v>
      </c>
      <c r="D37" s="22" t="s">
        <v>21</v>
      </c>
      <c r="E37" s="22" t="s">
        <v>20</v>
      </c>
      <c r="F37" s="22" t="s">
        <v>21</v>
      </c>
      <c r="G37" s="22" t="s">
        <v>20</v>
      </c>
      <c r="H37" s="22" t="s">
        <v>21</v>
      </c>
      <c r="I37" s="23"/>
    </row>
    <row r="38" spans="1:9" ht="45" customHeight="1">
      <c r="A38" s="24">
        <v>1</v>
      </c>
      <c r="B38" s="23" t="s">
        <v>30</v>
      </c>
      <c r="C38" s="25"/>
      <c r="D38" s="25"/>
      <c r="E38" s="25">
        <f>449.7</f>
        <v>449.7</v>
      </c>
      <c r="F38" s="26">
        <f>E38/$C$8/6</f>
        <v>6.1947268369286712E-2</v>
      </c>
      <c r="G38" s="25">
        <v>2000</v>
      </c>
      <c r="H38" s="26">
        <f>G38/$C$8/12</f>
        <v>0.13775243133041296</v>
      </c>
      <c r="I38" s="22" t="s">
        <v>59</v>
      </c>
    </row>
    <row r="39" spans="1:9" ht="48.75" customHeight="1">
      <c r="A39" s="27"/>
      <c r="B39" s="27" t="s">
        <v>31</v>
      </c>
      <c r="C39" s="28">
        <f>D39*$C$8*8</f>
        <v>6678.6480000000001</v>
      </c>
      <c r="D39" s="28">
        <v>0.69</v>
      </c>
      <c r="E39" s="28">
        <f>SUM(E38:E38)</f>
        <v>449.7</v>
      </c>
      <c r="F39" s="28">
        <f>SUM(F38:F38)</f>
        <v>6.1947268369286712E-2</v>
      </c>
      <c r="G39" s="28">
        <f>SUM(G38:G38)</f>
        <v>2000</v>
      </c>
      <c r="H39" s="28">
        <f>G39/$C$8/12</f>
        <v>0.13775243133041296</v>
      </c>
      <c r="I39" s="27"/>
    </row>
    <row r="40" spans="1:9">
      <c r="A40" s="45" t="s">
        <v>32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14</v>
      </c>
      <c r="B41" s="41" t="s">
        <v>15</v>
      </c>
      <c r="C41" s="43" t="s">
        <v>33</v>
      </c>
      <c r="D41" s="44"/>
      <c r="E41" s="43" t="s">
        <v>34</v>
      </c>
      <c r="F41" s="44"/>
      <c r="G41" s="43" t="s">
        <v>16</v>
      </c>
      <c r="H41" s="44"/>
      <c r="I41" s="21" t="s">
        <v>19</v>
      </c>
    </row>
    <row r="42" spans="1:9" ht="34.5">
      <c r="A42" s="42"/>
      <c r="B42" s="42"/>
      <c r="C42" s="22" t="s">
        <v>20</v>
      </c>
      <c r="D42" s="22" t="s">
        <v>21</v>
      </c>
      <c r="E42" s="22" t="s">
        <v>20</v>
      </c>
      <c r="F42" s="22" t="s">
        <v>21</v>
      </c>
      <c r="G42" s="22" t="s">
        <v>20</v>
      </c>
      <c r="H42" s="22" t="s">
        <v>21</v>
      </c>
      <c r="I42" s="23"/>
    </row>
    <row r="43" spans="1:9" ht="54" customHeight="1">
      <c r="A43" s="24">
        <v>1</v>
      </c>
      <c r="B43" s="23" t="s">
        <v>35</v>
      </c>
      <c r="C43" s="25"/>
      <c r="D43" s="25"/>
      <c r="E43" s="25">
        <f>10654</f>
        <v>10654</v>
      </c>
      <c r="F43" s="26">
        <f>E43/$C$8/6</f>
        <v>1.4676144033942198</v>
      </c>
      <c r="G43" s="25">
        <f>E43*11400/10850</f>
        <v>11194.064516129032</v>
      </c>
      <c r="H43" s="26">
        <f>G43/$C$8/12</f>
        <v>0.77100480178313857</v>
      </c>
      <c r="I43" s="22"/>
    </row>
    <row r="44" spans="1:9">
      <c r="A44" s="24">
        <v>2</v>
      </c>
      <c r="B44" s="23" t="s">
        <v>36</v>
      </c>
      <c r="C44" s="25"/>
      <c r="D44" s="25"/>
      <c r="E44" s="25">
        <f>994</f>
        <v>994</v>
      </c>
      <c r="F44" s="26">
        <f>E44/$C$8/6</f>
        <v>0.13692591674243049</v>
      </c>
      <c r="G44" s="25">
        <v>10000</v>
      </c>
      <c r="H44" s="26">
        <f>G44/$C$8/12</f>
        <v>0.68876215665206486</v>
      </c>
      <c r="I44" s="23"/>
    </row>
    <row r="45" spans="1:9" ht="56.25" customHeight="1">
      <c r="A45" s="27"/>
      <c r="B45" s="27" t="s">
        <v>37</v>
      </c>
      <c r="C45" s="28">
        <f>D45*$C$8*8</f>
        <v>27682.512000000002</v>
      </c>
      <c r="D45" s="28">
        <v>2.86</v>
      </c>
      <c r="E45" s="28">
        <f>SUM(E43:E44)</f>
        <v>11648</v>
      </c>
      <c r="F45" s="28">
        <f>SUM(F43:F44)</f>
        <v>1.6045403201366502</v>
      </c>
      <c r="G45" s="28">
        <f>SUM(G43:G44)</f>
        <v>21194.06451612903</v>
      </c>
      <c r="H45" s="28">
        <f>G45/$C$8/12</f>
        <v>1.4597669584352033</v>
      </c>
      <c r="I45" s="27"/>
    </row>
    <row r="46" spans="1:9">
      <c r="A46" s="45" t="s">
        <v>38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14</v>
      </c>
      <c r="B47" s="41" t="s">
        <v>15</v>
      </c>
      <c r="C47" s="43" t="s">
        <v>16</v>
      </c>
      <c r="D47" s="44"/>
      <c r="E47" s="43" t="s">
        <v>17</v>
      </c>
      <c r="F47" s="44"/>
      <c r="G47" s="43" t="s">
        <v>18</v>
      </c>
      <c r="H47" s="44"/>
      <c r="I47" s="21" t="s">
        <v>19</v>
      </c>
    </row>
    <row r="48" spans="1:9" ht="34.5">
      <c r="A48" s="42"/>
      <c r="B48" s="42"/>
      <c r="C48" s="22" t="s">
        <v>20</v>
      </c>
      <c r="D48" s="22" t="s">
        <v>21</v>
      </c>
      <c r="E48" s="22" t="s">
        <v>20</v>
      </c>
      <c r="F48" s="22" t="s">
        <v>21</v>
      </c>
      <c r="G48" s="22" t="s">
        <v>20</v>
      </c>
      <c r="H48" s="22" t="s">
        <v>21</v>
      </c>
      <c r="I48" s="23"/>
    </row>
    <row r="49" spans="1:9" ht="60.75" customHeight="1">
      <c r="A49" s="24">
        <v>1</v>
      </c>
      <c r="B49" s="23" t="s">
        <v>56</v>
      </c>
      <c r="C49" s="25"/>
      <c r="D49" s="25"/>
      <c r="E49" s="25">
        <f>6619.51</f>
        <v>6619.51</v>
      </c>
      <c r="F49" s="26">
        <f>E49/$C$8/6</f>
        <v>0.9118535967159821</v>
      </c>
      <c r="G49" s="25">
        <f>15739.94*11400/10850</f>
        <v>16537.817142857144</v>
      </c>
      <c r="H49" s="26">
        <f>G49/$C$8/12</f>
        <v>1.1390622601631775</v>
      </c>
      <c r="I49" s="22"/>
    </row>
    <row r="50" spans="1:9">
      <c r="A50" s="24">
        <v>2</v>
      </c>
      <c r="B50" s="23" t="s">
        <v>36</v>
      </c>
      <c r="C50" s="25"/>
      <c r="D50" s="25"/>
      <c r="E50" s="25">
        <f>6337</f>
        <v>6337</v>
      </c>
      <c r="F50" s="26">
        <f>E50/$C$8/6</f>
        <v>0.872937157340827</v>
      </c>
      <c r="G50" s="25">
        <f>6000</f>
        <v>6000</v>
      </c>
      <c r="H50" s="26">
        <f>G50/$C$8/12</f>
        <v>0.41325729399123889</v>
      </c>
      <c r="I50" s="23"/>
    </row>
    <row r="51" spans="1:9" ht="37.5" customHeight="1">
      <c r="A51" s="24">
        <v>3</v>
      </c>
      <c r="B51" s="23" t="s">
        <v>39</v>
      </c>
      <c r="C51" s="25"/>
      <c r="D51" s="25"/>
      <c r="E51" s="25">
        <f>E53+E54+E55+E56</f>
        <v>449.7</v>
      </c>
      <c r="F51" s="25">
        <f>F53+F54+F55+F56</f>
        <v>6.1947268369286712E-2</v>
      </c>
      <c r="G51" s="25">
        <f>G53+G54+G55+G56</f>
        <v>73240</v>
      </c>
      <c r="H51" s="26">
        <f>G51/$C$8/12</f>
        <v>5.0444940353197234</v>
      </c>
      <c r="I51" s="23"/>
    </row>
    <row r="52" spans="1:9">
      <c r="A52" s="24"/>
      <c r="B52" s="23" t="s">
        <v>40</v>
      </c>
      <c r="C52" s="25"/>
      <c r="D52" s="25"/>
      <c r="E52" s="25"/>
      <c r="F52" s="26"/>
      <c r="G52" s="25"/>
      <c r="H52" s="26"/>
      <c r="I52" s="23"/>
    </row>
    <row r="53" spans="1:9" ht="42.75" customHeight="1">
      <c r="A53" s="29"/>
      <c r="B53" s="29" t="s">
        <v>41</v>
      </c>
      <c r="C53" s="30"/>
      <c r="D53" s="30"/>
      <c r="E53" s="30">
        <f>449.7</f>
        <v>449.7</v>
      </c>
      <c r="F53" s="26">
        <f>E53/$C$8/6</f>
        <v>6.1947268369286712E-2</v>
      </c>
      <c r="G53" s="30">
        <v>1000</v>
      </c>
      <c r="H53" s="26">
        <f t="shared" ref="H53:H56" si="0">G53/$C$8/12</f>
        <v>6.8876215665206478E-2</v>
      </c>
      <c r="I53" s="29"/>
    </row>
    <row r="54" spans="1:9" ht="45" customHeight="1">
      <c r="A54" s="29"/>
      <c r="B54" s="29" t="s">
        <v>57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36.75" customHeight="1">
      <c r="A55" s="29"/>
      <c r="B55" s="29" t="s">
        <v>42</v>
      </c>
      <c r="C55" s="30"/>
      <c r="D55" s="30"/>
      <c r="E55" s="30"/>
      <c r="F55" s="26">
        <f>E55/$C$8/6</f>
        <v>0</v>
      </c>
      <c r="G55" s="30">
        <v>72240</v>
      </c>
      <c r="H55" s="26">
        <f t="shared" si="0"/>
        <v>4.9756178196545164</v>
      </c>
      <c r="I55" s="29"/>
    </row>
    <row r="56" spans="1:9" ht="36.75" customHeight="1">
      <c r="A56" s="29"/>
      <c r="B56" s="29"/>
      <c r="C56" s="30"/>
      <c r="D56" s="30"/>
      <c r="E56" s="30">
        <v>0</v>
      </c>
      <c r="F56" s="26">
        <f>E56/$C$8/6</f>
        <v>0</v>
      </c>
      <c r="G56" s="30"/>
      <c r="H56" s="26">
        <f t="shared" si="0"/>
        <v>0</v>
      </c>
      <c r="I56" s="29"/>
    </row>
    <row r="57" spans="1:9" ht="41.25" customHeight="1">
      <c r="A57" s="27"/>
      <c r="B57" s="27" t="s">
        <v>43</v>
      </c>
      <c r="C57" s="28">
        <f>D57*$C$8*8</f>
        <v>26521.008000000005</v>
      </c>
      <c r="D57" s="28">
        <v>2.74</v>
      </c>
      <c r="E57" s="28">
        <f>SUM(E49:E51)</f>
        <v>13406.210000000001</v>
      </c>
      <c r="F57" s="28">
        <f>SUM(F49:F51)</f>
        <v>1.8467380224260959</v>
      </c>
      <c r="G57" s="28">
        <f>SUM(G49:G51)</f>
        <v>95777.817142857151</v>
      </c>
      <c r="H57" s="28">
        <f>G57/$C$8/12</f>
        <v>6.5968135894741406</v>
      </c>
      <c r="I57" s="27"/>
    </row>
    <row r="58" spans="1:9">
      <c r="A58" s="45" t="s">
        <v>44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14</v>
      </c>
      <c r="B59" s="41" t="s">
        <v>15</v>
      </c>
      <c r="C59" s="43" t="s">
        <v>16</v>
      </c>
      <c r="D59" s="44"/>
      <c r="E59" s="43" t="s">
        <v>17</v>
      </c>
      <c r="F59" s="44"/>
      <c r="G59" s="43" t="s">
        <v>18</v>
      </c>
      <c r="H59" s="44"/>
      <c r="I59" s="21" t="s">
        <v>19</v>
      </c>
    </row>
    <row r="60" spans="1:9" ht="34.5">
      <c r="A60" s="42"/>
      <c r="B60" s="42"/>
      <c r="C60" s="22" t="s">
        <v>20</v>
      </c>
      <c r="D60" s="22" t="s">
        <v>21</v>
      </c>
      <c r="E60" s="22" t="s">
        <v>20</v>
      </c>
      <c r="F60" s="22" t="s">
        <v>21</v>
      </c>
      <c r="G60" s="22" t="s">
        <v>20</v>
      </c>
      <c r="H60" s="22" t="s">
        <v>21</v>
      </c>
      <c r="I60" s="23"/>
    </row>
    <row r="61" spans="1:9" ht="66.75" customHeight="1">
      <c r="A61" s="24">
        <v>1</v>
      </c>
      <c r="B61" s="23" t="s">
        <v>45</v>
      </c>
      <c r="C61" s="25"/>
      <c r="D61" s="25"/>
      <c r="E61" s="25">
        <f>5154.14</f>
        <v>5154.1400000000003</v>
      </c>
      <c r="F61" s="26">
        <f>E61/$C$8/6</f>
        <v>0.70999531641733471</v>
      </c>
      <c r="G61" s="25">
        <v>8123</v>
      </c>
      <c r="H61" s="26">
        <f>G61/$C$8/12</f>
        <v>0.55948149984847229</v>
      </c>
      <c r="I61" s="22"/>
    </row>
    <row r="62" spans="1:9" ht="63" customHeight="1">
      <c r="A62" s="24">
        <v>2</v>
      </c>
      <c r="B62" s="23" t="s">
        <v>46</v>
      </c>
      <c r="C62" s="25"/>
      <c r="D62" s="25"/>
      <c r="E62" s="25">
        <f>4392.67</f>
        <v>4392.67</v>
      </c>
      <c r="F62" s="26">
        <f>E62/$C$8/6</f>
        <v>0.6051009725321651</v>
      </c>
      <c r="G62" s="25">
        <v>2000</v>
      </c>
      <c r="H62" s="26">
        <f>G62/$C$8/12</f>
        <v>0.13775243133041296</v>
      </c>
      <c r="I62" s="23"/>
    </row>
    <row r="63" spans="1:9" ht="63" customHeight="1">
      <c r="A63" s="24">
        <v>3</v>
      </c>
      <c r="B63" s="23" t="s">
        <v>47</v>
      </c>
      <c r="C63" s="25"/>
      <c r="D63" s="25"/>
      <c r="E63" s="25">
        <v>3080</v>
      </c>
      <c r="F63" s="26">
        <f>E63/$C$8/6</f>
        <v>0.42427748849767194</v>
      </c>
      <c r="G63" s="25">
        <v>4500</v>
      </c>
      <c r="H63" s="26">
        <f>G63/$C$8/12</f>
        <v>0.30994297049342917</v>
      </c>
      <c r="I63" s="23"/>
    </row>
    <row r="64" spans="1:9" ht="33" customHeight="1">
      <c r="A64" s="27"/>
      <c r="B64" s="27" t="s">
        <v>48</v>
      </c>
      <c r="C64" s="28">
        <f>D64*$C$8*8</f>
        <v>35280.684000000001</v>
      </c>
      <c r="D64" s="28">
        <v>3.645</v>
      </c>
      <c r="E64" s="28">
        <f>SUM(E61:E63)</f>
        <v>12626.810000000001</v>
      </c>
      <c r="F64" s="28">
        <f>SUM(F61:F63)</f>
        <v>1.7393737774471718</v>
      </c>
      <c r="G64" s="28">
        <f>SUM(G61:G63)</f>
        <v>14623</v>
      </c>
      <c r="H64" s="28">
        <f>G64/$C$8/12</f>
        <v>1.0071769016723144</v>
      </c>
      <c r="I64" s="27"/>
    </row>
    <row r="65" spans="1:9" s="50" customFormat="1">
      <c r="A65" s="48"/>
      <c r="B65" s="48" t="s">
        <v>49</v>
      </c>
      <c r="C65" s="49">
        <f>C29+C34+C39+C45+C57+C64</f>
        <v>156561.06</v>
      </c>
      <c r="D65" s="49"/>
      <c r="E65" s="49">
        <f>((E29+E34+E39+E45+E57+E64)*1.05)*1.18</f>
        <v>94722.950069999992</v>
      </c>
      <c r="F65" s="49"/>
      <c r="G65" s="49">
        <f>G29+G34+G39+G45+G57+G64</f>
        <v>234835.31297695852</v>
      </c>
      <c r="H65" s="49"/>
      <c r="I65" s="48"/>
    </row>
    <row r="66" spans="1:9" ht="30">
      <c r="A66" s="23"/>
      <c r="B66" s="23" t="s">
        <v>50</v>
      </c>
      <c r="C66" s="25">
        <f>C65+C67</f>
        <v>164389.11300000001</v>
      </c>
      <c r="D66" s="25"/>
      <c r="E66" s="25">
        <f>(D13+D14)/1.18</f>
        <v>145127.80508474578</v>
      </c>
      <c r="F66" s="25"/>
      <c r="G66" s="25">
        <f>G65+G67</f>
        <v>246577.07862580643</v>
      </c>
      <c r="H66" s="25"/>
      <c r="I66" s="23"/>
    </row>
    <row r="67" spans="1:9" ht="30">
      <c r="A67" s="23"/>
      <c r="B67" s="23" t="s">
        <v>53</v>
      </c>
      <c r="C67" s="25">
        <f>C65*0.05</f>
        <v>7828.0529999999999</v>
      </c>
      <c r="D67" s="25"/>
      <c r="E67" s="25">
        <f>D16-E65</f>
        <v>13151.739930000011</v>
      </c>
      <c r="F67" s="25"/>
      <c r="G67" s="25">
        <f>G65*0.05</f>
        <v>11741.765648847926</v>
      </c>
      <c r="H67" s="25"/>
      <c r="I67" s="23"/>
    </row>
    <row r="68" spans="1:9" ht="28.5" customHeight="1">
      <c r="A68" s="23"/>
      <c r="B68" s="23" t="s">
        <v>51</v>
      </c>
      <c r="C68" s="25"/>
      <c r="D68" s="25">
        <f>C66/C8/8</f>
        <v>16.983750000000001</v>
      </c>
      <c r="E68" s="25"/>
      <c r="F68" s="25">
        <f>D68</f>
        <v>16.983750000000001</v>
      </c>
      <c r="G68" s="25">
        <f>G66/$C$8/12</f>
        <v>16.98329604552762</v>
      </c>
      <c r="H68" s="25">
        <f>H29+H34+H39+H45+H57+H64+G67/C8/12</f>
        <v>16.983296045527624</v>
      </c>
      <c r="I68" s="23"/>
    </row>
    <row r="69" spans="1:9" ht="13.5" customHeight="1">
      <c r="A69" s="23"/>
      <c r="B69" s="23" t="s">
        <v>52</v>
      </c>
      <c r="C69" s="25"/>
      <c r="D69" s="25">
        <f>D68*1.18</f>
        <v>20.040824999999998</v>
      </c>
      <c r="E69" s="25"/>
      <c r="F69" s="25">
        <f>D69</f>
        <v>20.040824999999998</v>
      </c>
      <c r="G69" s="25">
        <f>G68*1.18</f>
        <v>20.04028933372259</v>
      </c>
      <c r="H69" s="25">
        <f>H68*1.18</f>
        <v>20.040289333722594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2018-04-17T07:40:50Z</dcterms:modified>
</cp:coreProperties>
</file>