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G33"/>
  <c r="E61"/>
  <c r="E50"/>
  <c r="E49"/>
  <c r="E44"/>
  <c r="E43"/>
  <c r="E25" l="1"/>
  <c r="E26" l="1"/>
  <c r="E53" l="1"/>
  <c r="D14"/>
  <c r="G51" l="1"/>
  <c r="G43" l="1"/>
  <c r="E28" l="1"/>
  <c r="E66" l="1"/>
  <c r="C8" l="1"/>
  <c r="D17"/>
  <c r="E51"/>
  <c r="G39"/>
  <c r="E39"/>
  <c r="G29"/>
  <c r="E29"/>
  <c r="F27" l="1"/>
  <c r="F38"/>
  <c r="F39" s="1"/>
  <c r="F54"/>
  <c r="F56"/>
  <c r="F63"/>
  <c r="C57"/>
  <c r="C34"/>
  <c r="F33"/>
  <c r="F34" s="1"/>
  <c r="F50"/>
  <c r="F55"/>
  <c r="F62"/>
  <c r="C45"/>
  <c r="C64"/>
  <c r="C29"/>
  <c r="F43"/>
  <c r="F61"/>
  <c r="F64" s="1"/>
  <c r="F49"/>
  <c r="F44"/>
  <c r="F25"/>
  <c r="F26"/>
  <c r="F53"/>
  <c r="F28"/>
  <c r="H63"/>
  <c r="H39"/>
  <c r="H51"/>
  <c r="C39"/>
  <c r="H49"/>
  <c r="H54"/>
  <c r="G57"/>
  <c r="H57" s="1"/>
  <c r="H62"/>
  <c r="H25"/>
  <c r="H26"/>
  <c r="H27"/>
  <c r="H28"/>
  <c r="H29"/>
  <c r="H38"/>
  <c r="H44"/>
  <c r="H50"/>
  <c r="H53"/>
  <c r="H55"/>
  <c r="H56"/>
  <c r="F51" l="1"/>
  <c r="F29"/>
  <c r="F57"/>
  <c r="F45"/>
  <c r="E45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<sst xmlns="http://schemas.openxmlformats.org/spreadsheetml/2006/main" count="130" uniqueCount="61">
  <si>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</si>
  <si>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</si>
  <si>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</si>
  <si>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</si>
  <si>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</si>
  <si>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</si>
  <si>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</si>
  <si>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</si>
  <si>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</si>
  <si>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</si>
  <si>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</si>
  <si>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</si>
  <si>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</si>
  <si>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</si>
  <si>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</si>
  <si>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</si>
  <si>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</si>
  <si>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</si>
  <si>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</si>
  <si>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</si>
  <si>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</si>
  <si>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</si>
  <si>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</si>
  <si>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</si>
  <si>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</si>
  <si>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</si>
  <si>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</si>
  <si>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</si>
  <si>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</si>
  <si>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</si>
  <si>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</si>
  <si>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</si>
  <si>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</si>
  <si>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</si>
  <si>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</si>
  <si>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</si>
  <si>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</si>
  <si>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</si>
  <si>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</si>
  <si>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</si>
  <si>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</si>
  <si>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</si>
  <si>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</si>
  <si>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</si>
  <si>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</si>
  <si>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</si>
  <si>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</si>
  <si>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</si>
  <si>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</si>
  <si>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</si>
  <si>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</si>
  <si>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</si>
  <si>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</si>
  <si>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</si>
  <si>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</si>
  <si>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</si>
  <si>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ремонт ,демонтаж,монтаж козырьков,ремонт лестниц</t>
  </si>
  <si>
    <t>Адрес многоквартирного дома: ГП Лопухинка , д.Заостровье ,6</t>
  </si>
  <si>
    <t>замена стекл (2,08)</t>
  </si>
  <si>
    <t>Рост затрат обусловлен ростом стоимости услуг ООО "Эко-Точка" с 01.01.2018г. Более,чем В 2 раза</t>
  </si>
  <si>
    <t>Плановая годовая стоимость на 2018г. рассчитана с учетом ТО раз в три года по тарифам обслуживающей организации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</si>
</sst>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55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57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439.5</v>
      </c>
      <c r="D8" s="3"/>
    </row>
    <row r="9" spans="1:9">
      <c r="A9" s="2"/>
      <c r="B9" s="4" t="s">
        <v>3</v>
      </c>
      <c r="C9" s="5">
        <v>439.5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27.75" customHeight="1">
      <c r="A12" s="35" t="s">
        <v>5</v>
      </c>
      <c r="B12" s="36"/>
      <c r="C12" s="36"/>
      <c r="D12" s="37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87506.87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87506.87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48305.31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39201.56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38" t="s">
        <v>14</v>
      </c>
      <c r="B22" s="39"/>
      <c r="C22" s="39"/>
      <c r="D22" s="39"/>
      <c r="E22" s="39"/>
      <c r="F22" s="39"/>
      <c r="G22" s="39"/>
      <c r="H22" s="39"/>
      <c r="I22" s="40"/>
    </row>
    <row r="23" spans="1:9">
      <c r="A23" s="41" t="s">
        <v>15</v>
      </c>
      <c r="B23" s="41" t="s">
        <v>16</v>
      </c>
      <c r="C23" s="43" t="s">
        <v>17</v>
      </c>
      <c r="D23" s="44"/>
      <c r="E23" s="43" t="s">
        <v>18</v>
      </c>
      <c r="F23" s="44"/>
      <c r="G23" s="43" t="s">
        <v>19</v>
      </c>
      <c r="H23" s="44"/>
      <c r="I23" s="21" t="s">
        <v>20</v>
      </c>
    </row>
    <row r="24" spans="1:9" ht="34.5">
      <c r="A24" s="42"/>
      <c r="B24" s="42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10556.89</f>
        <v>10556.89</v>
      </c>
      <c r="F25" s="26">
        <f>E25/$C$8/6</f>
        <v>4.0033712552142582</v>
      </c>
      <c r="G25" s="25">
        <v>15000</v>
      </c>
      <c r="H25" s="26">
        <f>G25/$C$8/12</f>
        <v>2.8441410693970419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f>471.09</f>
        <v>471.09</v>
      </c>
      <c r="F26" s="26">
        <f>E26/$C$8/6</f>
        <v>0.17864618885096697</v>
      </c>
      <c r="G26" s="25">
        <v>510</v>
      </c>
      <c r="H26" s="26">
        <f>G26/$C$8/12</f>
        <v>9.6700796359499422E-2</v>
      </c>
      <c r="I26" s="23"/>
    </row>
    <row r="27" spans="1:9">
      <c r="A27" s="24">
        <v>3</v>
      </c>
      <c r="B27" s="23" t="s">
        <v>53</v>
      </c>
      <c r="C27" s="25"/>
      <c r="D27" s="25"/>
      <c r="E27" s="25">
        <v>130</v>
      </c>
      <c r="F27" s="26">
        <f>E27/$C$8/6</f>
        <v>4.9298445202882062E-2</v>
      </c>
      <c r="G27" s="25">
        <v>500</v>
      </c>
      <c r="H27" s="26">
        <f>G27/$C$8/12</f>
        <v>9.4804702313234734E-2</v>
      </c>
      <c r="I27" s="23"/>
    </row>
    <row r="28" spans="1:9">
      <c r="A28" s="24">
        <v>4</v>
      </c>
      <c r="B28" s="23" t="s">
        <v>54</v>
      </c>
      <c r="C28" s="25"/>
      <c r="D28" s="25"/>
      <c r="E28" s="25">
        <f>80480*C9/71332.64</f>
        <v>495.8593990072427</v>
      </c>
      <c r="F28" s="26">
        <f>E28/$C$8/6</f>
        <v>0.1880392108484045</v>
      </c>
      <c r="G28" s="25">
        <v>1000</v>
      </c>
      <c r="H28" s="26">
        <f>G28/$C$8/12</f>
        <v>0.18960940462646947</v>
      </c>
      <c r="I28" s="23"/>
    </row>
    <row r="29" spans="1:9" ht="50.25" customHeight="1">
      <c r="A29" s="27"/>
      <c r="B29" s="27" t="s">
        <v>26</v>
      </c>
      <c r="C29" s="28">
        <f>D29*$C$8*8</f>
        <v>14696.88</v>
      </c>
      <c r="D29" s="28">
        <v>4.18</v>
      </c>
      <c r="E29" s="28">
        <f>SUM(E25:E28)</f>
        <v>11653.839399007242</v>
      </c>
      <c r="F29" s="28">
        <f>SUM(F25:F28)</f>
        <v>4.4193551001165119</v>
      </c>
      <c r="G29" s="28">
        <f>SUM(G25:G28)</f>
        <v>17010</v>
      </c>
      <c r="H29" s="28">
        <f>G29/$C$8/12</f>
        <v>3.225255972696246</v>
      </c>
      <c r="I29" s="27"/>
    </row>
    <row r="30" spans="1:9">
      <c r="A30" s="45" t="s">
        <v>27</v>
      </c>
      <c r="B30" s="46"/>
      <c r="C30" s="46"/>
      <c r="D30" s="46"/>
      <c r="E30" s="46"/>
      <c r="F30" s="46"/>
      <c r="G30" s="46"/>
      <c r="H30" s="46"/>
      <c r="I30" s="47"/>
    </row>
    <row r="31" spans="1:9">
      <c r="A31" s="41" t="s">
        <v>15</v>
      </c>
      <c r="B31" s="41" t="s">
        <v>16</v>
      </c>
      <c r="C31" s="43" t="s">
        <v>17</v>
      </c>
      <c r="D31" s="44"/>
      <c r="E31" s="43" t="s">
        <v>18</v>
      </c>
      <c r="F31" s="44"/>
      <c r="G31" s="43" t="s">
        <v>19</v>
      </c>
      <c r="H31" s="44"/>
      <c r="I31" s="21" t="s">
        <v>20</v>
      </c>
    </row>
    <row r="32" spans="1:9" ht="34.5">
      <c r="A32" s="42"/>
      <c r="B32" s="42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9" ht="49.5" customHeight="1">
      <c r="A33" s="24">
        <v>1</v>
      </c>
      <c r="B33" s="23" t="s">
        <v>28</v>
      </c>
      <c r="C33" s="25"/>
      <c r="D33" s="25"/>
      <c r="E33" s="25">
        <v>6659.15</v>
      </c>
      <c r="F33" s="26">
        <f>E33/$C$8/6</f>
        <v>2.5252749336367084</v>
      </c>
      <c r="G33" s="25">
        <f>12*5.51*439.5</f>
        <v>29059.74</v>
      </c>
      <c r="H33" s="26">
        <f>G33/$C$8/12</f>
        <v>5.5100000000000007</v>
      </c>
      <c r="I33" s="22" t="s">
        <v>59</v>
      </c>
    </row>
    <row r="34" spans="1:9" ht="33" customHeight="1">
      <c r="A34" s="27"/>
      <c r="B34" s="27" t="s">
        <v>29</v>
      </c>
      <c r="C34" s="28">
        <f>D34*$C$8*8</f>
        <v>7242.96</v>
      </c>
      <c r="D34" s="28">
        <v>2.06</v>
      </c>
      <c r="E34" s="28">
        <f>SUM(E33:E33)</f>
        <v>6659.15</v>
      </c>
      <c r="F34" s="28">
        <f>SUM(F33:F33)</f>
        <v>2.5252749336367084</v>
      </c>
      <c r="G34" s="28">
        <f>SUM(G33:G33)</f>
        <v>29059.74</v>
      </c>
      <c r="H34" s="28">
        <f>G34/$C$8/12</f>
        <v>5.5100000000000007</v>
      </c>
      <c r="I34" s="27"/>
    </row>
    <row r="35" spans="1:9">
      <c r="A35" s="45" t="s">
        <v>30</v>
      </c>
      <c r="B35" s="46"/>
      <c r="C35" s="46"/>
      <c r="D35" s="46"/>
      <c r="E35" s="46"/>
      <c r="F35" s="46"/>
      <c r="G35" s="46"/>
      <c r="H35" s="46"/>
      <c r="I35" s="47"/>
    </row>
    <row r="36" spans="1:9">
      <c r="A36" s="41" t="s">
        <v>15</v>
      </c>
      <c r="B36" s="41" t="s">
        <v>16</v>
      </c>
      <c r="C36" s="43" t="s">
        <v>17</v>
      </c>
      <c r="D36" s="44"/>
      <c r="E36" s="43" t="s">
        <v>18</v>
      </c>
      <c r="F36" s="44"/>
      <c r="G36" s="43" t="s">
        <v>19</v>
      </c>
      <c r="H36" s="44"/>
      <c r="I36" s="21" t="s">
        <v>20</v>
      </c>
    </row>
    <row r="37" spans="1:9" ht="34.5">
      <c r="A37" s="42"/>
      <c r="B37" s="42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9" ht="45" customHeight="1">
      <c r="A38" s="24">
        <v>1</v>
      </c>
      <c r="B38" s="23" t="s">
        <v>31</v>
      </c>
      <c r="C38" s="25"/>
      <c r="D38" s="25"/>
      <c r="E38" s="25">
        <v>0</v>
      </c>
      <c r="F38" s="26">
        <f>E38/$C$8/6</f>
        <v>0</v>
      </c>
      <c r="G38" s="25">
        <v>0</v>
      </c>
      <c r="H38" s="26">
        <f>G38/$C$8/12</f>
        <v>0</v>
      </c>
      <c r="I38" s="22" t="s">
        <v>60</v>
      </c>
    </row>
    <row r="39" spans="1:9" ht="48.75" customHeight="1">
      <c r="A39" s="27"/>
      <c r="B39" s="27" t="s">
        <v>32</v>
      </c>
      <c r="C39" s="28">
        <f>D39*$C$8*12</f>
        <v>0</v>
      </c>
      <c r="D39" s="28">
        <v>0</v>
      </c>
      <c r="E39" s="28">
        <f>SUM(E38:E38)</f>
        <v>0</v>
      </c>
      <c r="F39" s="28">
        <f>SUM(F38:F38)</f>
        <v>0</v>
      </c>
      <c r="G39" s="28">
        <f>SUM(G38:G38)</f>
        <v>0</v>
      </c>
      <c r="H39" s="28">
        <f>G39/$C$8/12</f>
        <v>0</v>
      </c>
      <c r="I39" s="27"/>
    </row>
    <row r="40" spans="1:9">
      <c r="A40" s="45" t="s">
        <v>33</v>
      </c>
      <c r="B40" s="46"/>
      <c r="C40" s="46"/>
      <c r="D40" s="46"/>
      <c r="E40" s="46"/>
      <c r="F40" s="46"/>
      <c r="G40" s="46"/>
      <c r="H40" s="46"/>
      <c r="I40" s="47"/>
    </row>
    <row r="41" spans="1:9">
      <c r="A41" s="41" t="s">
        <v>15</v>
      </c>
      <c r="B41" s="41" t="s">
        <v>16</v>
      </c>
      <c r="C41" s="43" t="s">
        <v>17</v>
      </c>
      <c r="D41" s="44"/>
      <c r="E41" s="43" t="s">
        <v>18</v>
      </c>
      <c r="F41" s="44"/>
      <c r="G41" s="43" t="s">
        <v>19</v>
      </c>
      <c r="H41" s="44"/>
      <c r="I41" s="21" t="s">
        <v>20</v>
      </c>
    </row>
    <row r="42" spans="1:9" ht="34.5">
      <c r="A42" s="42"/>
      <c r="B42" s="42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9" ht="40.5" customHeight="1">
      <c r="A43" s="24">
        <v>1</v>
      </c>
      <c r="B43" s="23" t="s">
        <v>34</v>
      </c>
      <c r="C43" s="25"/>
      <c r="D43" s="25"/>
      <c r="E43" s="25">
        <f>3757.8</f>
        <v>3757.8</v>
      </c>
      <c r="F43" s="26">
        <f>E43/$C$8/6</f>
        <v>1.425028441410694</v>
      </c>
      <c r="G43" s="25">
        <f>10000</f>
        <v>10000</v>
      </c>
      <c r="H43" s="26">
        <f>G43/$C$8/12</f>
        <v>1.8960940462646947</v>
      </c>
      <c r="I43" s="22"/>
    </row>
    <row r="44" spans="1:9">
      <c r="A44" s="24">
        <v>2</v>
      </c>
      <c r="B44" s="23" t="s">
        <v>35</v>
      </c>
      <c r="C44" s="25"/>
      <c r="D44" s="25"/>
      <c r="E44" s="25">
        <f>1184</f>
        <v>1184</v>
      </c>
      <c r="F44" s="26">
        <f>E44/$C$8/6</f>
        <v>0.44899507015547968</v>
      </c>
      <c r="G44" s="25">
        <v>6000</v>
      </c>
      <c r="H44" s="26">
        <f>G44/$C$8/12</f>
        <v>1.1376564277588168</v>
      </c>
      <c r="I44" s="23"/>
    </row>
    <row r="45" spans="1:9" ht="48.75" customHeight="1">
      <c r="A45" s="27"/>
      <c r="B45" s="27" t="s">
        <v>36</v>
      </c>
      <c r="C45" s="28">
        <f>D45*$C$8*8</f>
        <v>12481.8</v>
      </c>
      <c r="D45" s="28">
        <v>3.55</v>
      </c>
      <c r="E45" s="28">
        <f>SUM(E43:E44)</f>
        <v>4941.8</v>
      </c>
      <c r="F45" s="28">
        <f>SUM(F43:F44)</f>
        <v>1.8740235115661736</v>
      </c>
      <c r="G45" s="28">
        <f>SUM(G43:G44)</f>
        <v>16000</v>
      </c>
      <c r="H45" s="28">
        <f>G45/$C$8/12</f>
        <v>3.0337504740235115</v>
      </c>
      <c r="I45" s="27"/>
    </row>
    <row r="46" spans="1:9">
      <c r="A46" s="45" t="s">
        <v>37</v>
      </c>
      <c r="B46" s="46"/>
      <c r="C46" s="46"/>
      <c r="D46" s="46"/>
      <c r="E46" s="46"/>
      <c r="F46" s="46"/>
      <c r="G46" s="46"/>
      <c r="H46" s="46"/>
      <c r="I46" s="47"/>
    </row>
    <row r="47" spans="1:9">
      <c r="A47" s="41" t="s">
        <v>15</v>
      </c>
      <c r="B47" s="41" t="s">
        <v>16</v>
      </c>
      <c r="C47" s="43" t="s">
        <v>17</v>
      </c>
      <c r="D47" s="44"/>
      <c r="E47" s="43" t="s">
        <v>18</v>
      </c>
      <c r="F47" s="44"/>
      <c r="G47" s="43" t="s">
        <v>19</v>
      </c>
      <c r="H47" s="44"/>
      <c r="I47" s="21" t="s">
        <v>20</v>
      </c>
    </row>
    <row r="48" spans="1:9" ht="34.5">
      <c r="A48" s="42"/>
      <c r="B48" s="42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55</v>
      </c>
      <c r="C49" s="25"/>
      <c r="D49" s="25"/>
      <c r="E49" s="25">
        <f>2550</f>
        <v>2550</v>
      </c>
      <c r="F49" s="26">
        <f>E49/$C$8/6</f>
        <v>0.9670079635949943</v>
      </c>
      <c r="G49" s="25">
        <v>3000</v>
      </c>
      <c r="H49" s="26">
        <f>G49/$C$8/12</f>
        <v>0.56882821387940841</v>
      </c>
      <c r="I49" s="22"/>
    </row>
    <row r="50" spans="1:9">
      <c r="A50" s="24">
        <v>2</v>
      </c>
      <c r="B50" s="23" t="s">
        <v>35</v>
      </c>
      <c r="C50" s="25"/>
      <c r="D50" s="25"/>
      <c r="E50" s="25">
        <f>935.8</f>
        <v>935.8</v>
      </c>
      <c r="F50" s="26">
        <f>E50/$C$8/6</f>
        <v>0.3548729616989002</v>
      </c>
      <c r="G50" s="25">
        <v>1000</v>
      </c>
      <c r="H50" s="26">
        <f>G50/$C$8/12</f>
        <v>0.18960940462646947</v>
      </c>
      <c r="I50" s="23"/>
    </row>
    <row r="51" spans="1:9" ht="31.5" customHeight="1">
      <c r="A51" s="24">
        <v>3</v>
      </c>
      <c r="B51" s="23" t="s">
        <v>38</v>
      </c>
      <c r="C51" s="25"/>
      <c r="D51" s="25"/>
      <c r="E51" s="25">
        <f>E53+E54+E55+E56</f>
        <v>163.36000000000001</v>
      </c>
      <c r="F51" s="25">
        <f>F53+F54+F55+F56</f>
        <v>6.1949184679560114E-2</v>
      </c>
      <c r="G51" s="25">
        <f>G53+G54+G55+G56</f>
        <v>15940</v>
      </c>
      <c r="H51" s="26">
        <f>G51/$C$8/12</f>
        <v>3.0223739097459235</v>
      </c>
      <c r="I51" s="23"/>
    </row>
    <row r="52" spans="1:9">
      <c r="A52" s="24"/>
      <c r="B52" s="23" t="s">
        <v>39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40</v>
      </c>
      <c r="C53" s="30"/>
      <c r="D53" s="30"/>
      <c r="E53" s="30">
        <f>163.36</f>
        <v>163.36000000000001</v>
      </c>
      <c r="F53" s="26">
        <f>E53/$C$8/6</f>
        <v>6.1949184679560114E-2</v>
      </c>
      <c r="G53" s="30">
        <v>500</v>
      </c>
      <c r="H53" s="26">
        <f t="shared" ref="H53:H56" si="0">G53/$C$8/12</f>
        <v>9.4804702313234734E-2</v>
      </c>
      <c r="I53" s="29"/>
    </row>
    <row r="54" spans="1:9" ht="36.75" customHeight="1">
      <c r="A54" s="29"/>
      <c r="B54" s="29" t="s">
        <v>56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41</v>
      </c>
      <c r="C55" s="30"/>
      <c r="D55" s="30"/>
      <c r="E55" s="30"/>
      <c r="F55" s="26">
        <f>E55/$C$8/6</f>
        <v>0</v>
      </c>
      <c r="G55" s="30">
        <v>15440</v>
      </c>
      <c r="H55" s="26">
        <f t="shared" si="0"/>
        <v>2.9275692074326884</v>
      </c>
      <c r="I55" s="29"/>
    </row>
    <row r="56" spans="1:9" ht="21.75" customHeight="1">
      <c r="A56" s="29"/>
      <c r="B56" s="29" t="s">
        <v>58</v>
      </c>
      <c r="C56" s="30"/>
      <c r="D56" s="30"/>
      <c r="E56" s="30"/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42</v>
      </c>
      <c r="C57" s="28">
        <f>D57*$C$8*8</f>
        <v>9633.84</v>
      </c>
      <c r="D57" s="28">
        <v>2.74</v>
      </c>
      <c r="E57" s="28">
        <f>SUM(E49:E51)</f>
        <v>3649.1600000000003</v>
      </c>
      <c r="F57" s="28">
        <f>SUM(F49:F51)</f>
        <v>1.3838301099734547</v>
      </c>
      <c r="G57" s="28">
        <f>SUM(G49:G51)</f>
        <v>19940</v>
      </c>
      <c r="H57" s="28">
        <f>G57/$C$8/12</f>
        <v>3.7808115282518013</v>
      </c>
      <c r="I57" s="27"/>
    </row>
    <row r="58" spans="1:9">
      <c r="A58" s="45" t="s">
        <v>43</v>
      </c>
      <c r="B58" s="46"/>
      <c r="C58" s="46"/>
      <c r="D58" s="46"/>
      <c r="E58" s="46"/>
      <c r="F58" s="46"/>
      <c r="G58" s="46"/>
      <c r="H58" s="46"/>
      <c r="I58" s="47"/>
    </row>
    <row r="59" spans="1:9">
      <c r="A59" s="41" t="s">
        <v>15</v>
      </c>
      <c r="B59" s="41" t="s">
        <v>16</v>
      </c>
      <c r="C59" s="43" t="s">
        <v>17</v>
      </c>
      <c r="D59" s="44"/>
      <c r="E59" s="43" t="s">
        <v>18</v>
      </c>
      <c r="F59" s="44"/>
      <c r="G59" s="43" t="s">
        <v>19</v>
      </c>
      <c r="H59" s="44"/>
      <c r="I59" s="21" t="s">
        <v>20</v>
      </c>
    </row>
    <row r="60" spans="1:9" ht="22.5" customHeight="1">
      <c r="A60" s="42"/>
      <c r="B60" s="42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29.25" customHeight="1">
      <c r="A61" s="24">
        <v>1</v>
      </c>
      <c r="B61" s="23" t="s">
        <v>44</v>
      </c>
      <c r="C61" s="25"/>
      <c r="D61" s="25"/>
      <c r="E61" s="25">
        <f>535.31</f>
        <v>535.30999999999995</v>
      </c>
      <c r="F61" s="26">
        <f>E61/$C$8/6</f>
        <v>0.20299962078119071</v>
      </c>
      <c r="G61" s="25">
        <v>1500</v>
      </c>
      <c r="H61" s="26">
        <f>G61/$C$8/12</f>
        <v>0.2844141069397042</v>
      </c>
      <c r="I61" s="22"/>
    </row>
    <row r="62" spans="1:9" ht="26.25" customHeight="1">
      <c r="A62" s="24">
        <v>2</v>
      </c>
      <c r="B62" s="23" t="s">
        <v>45</v>
      </c>
      <c r="C62" s="25"/>
      <c r="D62" s="25"/>
      <c r="E62" s="25">
        <v>795</v>
      </c>
      <c r="F62" s="26">
        <f>E62/$C$8/6</f>
        <v>0.30147895335608649</v>
      </c>
      <c r="G62" s="25">
        <v>800</v>
      </c>
      <c r="H62" s="26">
        <f>G62/$C$8/12</f>
        <v>0.15168752370117558</v>
      </c>
      <c r="I62" s="23"/>
    </row>
    <row r="63" spans="1:9" ht="30.75" customHeight="1">
      <c r="A63" s="24">
        <v>3</v>
      </c>
      <c r="B63" s="23" t="s">
        <v>46</v>
      </c>
      <c r="C63" s="25"/>
      <c r="D63" s="25"/>
      <c r="E63" s="25">
        <v>508</v>
      </c>
      <c r="F63" s="26">
        <f>E63/$C$8/6</f>
        <v>0.19264315510049299</v>
      </c>
      <c r="G63" s="25">
        <v>1000</v>
      </c>
      <c r="H63" s="26">
        <f>G63/$C$8/12</f>
        <v>0.18960940462646947</v>
      </c>
      <c r="I63" s="23"/>
    </row>
    <row r="64" spans="1:9" ht="19.5" customHeight="1">
      <c r="A64" s="27"/>
      <c r="B64" s="27" t="s">
        <v>47</v>
      </c>
      <c r="C64" s="28">
        <f>D64*$C$8*8</f>
        <v>12815.82</v>
      </c>
      <c r="D64" s="28">
        <v>3.645</v>
      </c>
      <c r="E64" s="28">
        <f>SUM(E61:E63)</f>
        <v>1838.31</v>
      </c>
      <c r="F64" s="28">
        <f>SUM(F61:F63)</f>
        <v>0.69712172923777027</v>
      </c>
      <c r="G64" s="28">
        <f>SUM(G61:G63)</f>
        <v>3300</v>
      </c>
      <c r="H64" s="28">
        <f>G64/$C$8/12</f>
        <v>0.62571103526734928</v>
      </c>
      <c r="I64" s="27"/>
    </row>
    <row r="65" spans="1:9" s="50" customFormat="1">
      <c r="A65" s="48"/>
      <c r="B65" s="48" t="s">
        <v>48</v>
      </c>
      <c r="C65" s="49">
        <f>C29+C34+C39+C45+C57+C64</f>
        <v>56871.299999999996</v>
      </c>
      <c r="D65" s="49"/>
      <c r="E65" s="49">
        <f>((E29+E34+E39+E45+E57+E64)*1.05)*1.18</f>
        <v>35611.65939536997</v>
      </c>
      <c r="F65" s="49"/>
      <c r="G65" s="49">
        <f>G29+G34+G39+G45+G57+G64</f>
        <v>85309.74</v>
      </c>
      <c r="H65" s="49"/>
      <c r="I65" s="48"/>
    </row>
    <row r="66" spans="1:9" ht="25.5" customHeight="1">
      <c r="A66" s="23"/>
      <c r="B66" s="23" t="s">
        <v>49</v>
      </c>
      <c r="C66" s="25">
        <f>C65+C67</f>
        <v>59714.864999999998</v>
      </c>
      <c r="D66" s="25"/>
      <c r="E66" s="25">
        <f>(D13+D14)/1.18</f>
        <v>74158.364406779656</v>
      </c>
      <c r="F66" s="25"/>
      <c r="G66" s="25">
        <f>G65+G67</f>
        <v>89575.226999999999</v>
      </c>
      <c r="H66" s="25"/>
      <c r="I66" s="23"/>
    </row>
    <row r="67" spans="1:9" ht="30.75" customHeight="1">
      <c r="A67" s="23"/>
      <c r="B67" s="23" t="s">
        <v>52</v>
      </c>
      <c r="C67" s="25">
        <f>C65*0.05</f>
        <v>2843.5650000000001</v>
      </c>
      <c r="D67" s="25"/>
      <c r="E67" s="25">
        <f>D16-E65</f>
        <v>12693.650604630027</v>
      </c>
      <c r="F67" s="25"/>
      <c r="G67" s="25">
        <f>G65*0.05</f>
        <v>4265.4870000000001</v>
      </c>
      <c r="H67" s="25"/>
      <c r="I67" s="23"/>
    </row>
    <row r="68" spans="1:9" ht="28.5" customHeight="1">
      <c r="A68" s="23"/>
      <c r="B68" s="23" t="s">
        <v>50</v>
      </c>
      <c r="C68" s="25"/>
      <c r="D68" s="25">
        <f>C66/C8/8</f>
        <v>16.983750000000001</v>
      </c>
      <c r="E68" s="25"/>
      <c r="F68" s="25">
        <f>D68</f>
        <v>16.983750000000001</v>
      </c>
      <c r="G68" s="25"/>
      <c r="H68" s="25">
        <f>H29+H34+H39+H45+H57+H64+G67/C8/12</f>
        <v>16.984305460750857</v>
      </c>
      <c r="I68" s="23"/>
    </row>
    <row r="69" spans="1:9" ht="13.5" customHeight="1">
      <c r="A69" s="23"/>
      <c r="B69" s="23" t="s">
        <v>51</v>
      </c>
      <c r="C69" s="25"/>
      <c r="D69" s="25">
        <f>D68*1.18</f>
        <v>20.040824999999998</v>
      </c>
      <c r="E69" s="25"/>
      <c r="F69" s="25">
        <f>D69</f>
        <v>20.040824999999998</v>
      </c>
      <c r="G69" s="25"/>
      <c r="H69" s="25">
        <f>H68*1.18</f>
        <v>20.041480443686009</v>
      </c>
      <c r="I69" s="23"/>
    </row>
    <row r="71" spans="1:9">
      <c r="E71" s="34"/>
      <c r="G71" s="31"/>
    </row>
    <row r="72" spans="1:9">
      <c r="E72" s="34"/>
    </row>
    <row r="73" spans="1:9">
      <c r="E73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2018-04-17T07:36:47Z</dcterms:modified>
</cp:coreProperties>
</file>